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worch\Downloads\"/>
    </mc:Choice>
  </mc:AlternateContent>
  <xr:revisionPtr revIDLastSave="0" documentId="8_{6CE16B91-D868-41D6-98E9-CE7217997091}" xr6:coauthVersionLast="47" xr6:coauthVersionMax="47" xr10:uidLastSave="{00000000-0000-0000-0000-000000000000}"/>
  <bookViews>
    <workbookView xWindow="20" yWindow="760" windowWidth="25580" windowHeight="14900" activeTab="1" xr2:uid="{00000000-000D-0000-FFFF-FFFF00000000}"/>
  </bookViews>
  <sheets>
    <sheet name="Inputs" sheetId="1" r:id="rId1"/>
    <sheet name="Summary" sheetId="2" r:id="rId2"/>
    <sheet name="Annual Cash Flows" sheetId="3" r:id="rId3"/>
    <sheet name="Penetration" sheetId="4" r:id="rId4"/>
    <sheet name="Waterfall" sheetId="5" r:id="rId5"/>
  </sheets>
  <calcPr calcId="181029"/>
  <extLst>
    <ext xmlns:x15="http://schemas.microsoft.com/office/spreadsheetml/2010/11/main" uri="{140A7094-0E35-4892-8432-C4D2E57EDEB5}">
      <x15:workbookPr chartTrackingRefBase="1"/>
    </ext>
    <ext uri="GoogleSheetsCustomDataVersion2">
      <go:sheetsCustomData xmlns:go="http://customooxmlschemas.google.com/" r:id="" roundtripDataChecksum="kz2tS9gTdnLDLBKXe3awNhofX01O6ojuqkyU88hHBXQ="/>
    </ext>
  </extLst>
</workbook>
</file>

<file path=xl/calcChain.xml><?xml version="1.0" encoding="utf-8"?>
<calcChain xmlns="http://schemas.openxmlformats.org/spreadsheetml/2006/main">
  <c r="C139" i="5" l="1"/>
  <c r="Q128" i="5"/>
  <c r="P128" i="5"/>
  <c r="O128" i="5"/>
  <c r="N128" i="5"/>
  <c r="M128" i="5"/>
  <c r="L128" i="5"/>
  <c r="K128" i="5"/>
  <c r="J128" i="5"/>
  <c r="I128" i="5"/>
  <c r="H128" i="5"/>
  <c r="G128" i="5"/>
  <c r="F110" i="5"/>
  <c r="F109" i="5" s="1"/>
  <c r="F98" i="5"/>
  <c r="F97" i="5" s="1"/>
  <c r="F76" i="5"/>
  <c r="F75" i="5" s="1"/>
  <c r="F55" i="5"/>
  <c r="F54" i="5" s="1"/>
  <c r="C50" i="5"/>
  <c r="Q46" i="5"/>
  <c r="P46" i="5"/>
  <c r="O46" i="5"/>
  <c r="N46" i="5"/>
  <c r="M46" i="5"/>
  <c r="L46" i="5"/>
  <c r="K46" i="5"/>
  <c r="J46" i="5"/>
  <c r="I46" i="5"/>
  <c r="H46" i="5"/>
  <c r="G46" i="5"/>
  <c r="Q41" i="5"/>
  <c r="P41" i="5"/>
  <c r="O41" i="5"/>
  <c r="N41" i="5"/>
  <c r="M41" i="5"/>
  <c r="L41" i="5"/>
  <c r="K41" i="5"/>
  <c r="J41" i="5"/>
  <c r="I41" i="5"/>
  <c r="H41" i="5"/>
  <c r="G41" i="5"/>
  <c r="F33" i="5"/>
  <c r="F32" i="5" s="1"/>
  <c r="Q24" i="5"/>
  <c r="P24" i="5"/>
  <c r="O24" i="5"/>
  <c r="N24" i="5"/>
  <c r="M24" i="5"/>
  <c r="L24" i="5"/>
  <c r="K24" i="5"/>
  <c r="J24" i="5"/>
  <c r="I24" i="5"/>
  <c r="H24" i="5"/>
  <c r="G24" i="5"/>
  <c r="C23" i="5"/>
  <c r="G19" i="5"/>
  <c r="G18" i="5" s="1"/>
  <c r="F18" i="5"/>
  <c r="F16" i="5"/>
  <c r="F15" i="5"/>
  <c r="E15" i="5"/>
  <c r="F14" i="5"/>
  <c r="E14" i="5"/>
  <c r="E13" i="5"/>
  <c r="B7" i="5"/>
  <c r="F22" i="4"/>
  <c r="E22" i="4"/>
  <c r="C22" i="4"/>
  <c r="F21" i="4"/>
  <c r="E21" i="4"/>
  <c r="D21" i="4"/>
  <c r="F19" i="4"/>
  <c r="E19" i="4"/>
  <c r="D19" i="4"/>
  <c r="F111" i="3"/>
  <c r="B100" i="3"/>
  <c r="F99" i="3"/>
  <c r="F88" i="3"/>
  <c r="H58" i="3"/>
  <c r="H57" i="3"/>
  <c r="H56" i="3"/>
  <c r="R24" i="3"/>
  <c r="Q24" i="3"/>
  <c r="P24" i="3"/>
  <c r="O24" i="3"/>
  <c r="N24" i="3"/>
  <c r="M24" i="3"/>
  <c r="L24" i="3"/>
  <c r="K24" i="3"/>
  <c r="J24" i="3"/>
  <c r="I24" i="3"/>
  <c r="B23" i="3"/>
  <c r="G22" i="3"/>
  <c r="B22" i="3"/>
  <c r="G21" i="3"/>
  <c r="B21" i="3"/>
  <c r="B20" i="3"/>
  <c r="B19" i="3"/>
  <c r="G18" i="3"/>
  <c r="B18" i="3"/>
  <c r="H14" i="3"/>
  <c r="J12" i="3"/>
  <c r="E9" i="4" s="1"/>
  <c r="I12" i="3"/>
  <c r="D9" i="4" s="1"/>
  <c r="H12" i="3"/>
  <c r="C9" i="4" s="1"/>
  <c r="G8" i="3"/>
  <c r="G7" i="3"/>
  <c r="G6" i="3" s="1"/>
  <c r="A122" i="3"/>
  <c r="M43" i="2"/>
  <c r="M41" i="2"/>
  <c r="M40" i="2"/>
  <c r="B39" i="2"/>
  <c r="M32" i="2"/>
  <c r="M30" i="2"/>
  <c r="M21" i="2"/>
  <c r="M19" i="2"/>
  <c r="B15" i="2"/>
  <c r="D13" i="2"/>
  <c r="B13" i="2"/>
  <c r="D12" i="2"/>
  <c r="B12" i="2"/>
  <c r="B11" i="2"/>
  <c r="I10" i="2"/>
  <c r="B10" i="2"/>
  <c r="M9" i="2"/>
  <c r="I9" i="2"/>
  <c r="B9" i="2"/>
  <c r="D8" i="2"/>
  <c r="B8" i="2"/>
  <c r="M5" i="2"/>
  <c r="I5" i="2"/>
  <c r="F5" i="2"/>
  <c r="H103" i="1"/>
  <c r="I103" i="1" s="1"/>
  <c r="J103" i="1" s="1"/>
  <c r="K103" i="1" s="1"/>
  <c r="L103" i="1" s="1"/>
  <c r="M103" i="1" s="1"/>
  <c r="N103" i="1" s="1"/>
  <c r="E102" i="1"/>
  <c r="F100" i="1"/>
  <c r="G100" i="1" s="1"/>
  <c r="H100" i="1" s="1"/>
  <c r="I100" i="1" s="1"/>
  <c r="J100" i="1" s="1"/>
  <c r="K100" i="1" s="1"/>
  <c r="L100" i="1" s="1"/>
  <c r="M100" i="1" s="1"/>
  <c r="N100" i="1" s="1"/>
  <c r="E99" i="1"/>
  <c r="F97" i="1"/>
  <c r="G97" i="1" s="1"/>
  <c r="H97" i="1" s="1"/>
  <c r="I97" i="1" s="1"/>
  <c r="J97" i="1" s="1"/>
  <c r="K97" i="1" s="1"/>
  <c r="L97" i="1" s="1"/>
  <c r="M97" i="1" s="1"/>
  <c r="N97" i="1" s="1"/>
  <c r="E96" i="1"/>
  <c r="F94" i="1"/>
  <c r="G94" i="1" s="1"/>
  <c r="H94" i="1" s="1"/>
  <c r="I94" i="1" s="1"/>
  <c r="J94" i="1" s="1"/>
  <c r="K94" i="1" s="1"/>
  <c r="L94" i="1" s="1"/>
  <c r="M94" i="1" s="1"/>
  <c r="N94" i="1" s="1"/>
  <c r="G92" i="1"/>
  <c r="H92" i="1" s="1"/>
  <c r="I92" i="1" s="1"/>
  <c r="J92" i="1" s="1"/>
  <c r="K92" i="1" s="1"/>
  <c r="L92" i="1" s="1"/>
  <c r="M92" i="1" s="1"/>
  <c r="N92" i="1" s="1"/>
  <c r="E91" i="1"/>
  <c r="F91" i="1" s="1"/>
  <c r="G91" i="1" s="1"/>
  <c r="H91" i="1" s="1"/>
  <c r="I91" i="1" s="1"/>
  <c r="J91" i="1" s="1"/>
  <c r="K91" i="1" s="1"/>
  <c r="L91" i="1" s="1"/>
  <c r="M91" i="1" s="1"/>
  <c r="N91" i="1" s="1"/>
  <c r="G89" i="1"/>
  <c r="H89" i="1" s="1"/>
  <c r="I89" i="1" s="1"/>
  <c r="J89" i="1" s="1"/>
  <c r="K89" i="1" s="1"/>
  <c r="L89" i="1" s="1"/>
  <c r="M89" i="1" s="1"/>
  <c r="N89" i="1" s="1"/>
  <c r="E88" i="1"/>
  <c r="F88" i="1" s="1"/>
  <c r="G88" i="1" s="1"/>
  <c r="H88" i="1" s="1"/>
  <c r="I88" i="1" s="1"/>
  <c r="J88" i="1" s="1"/>
  <c r="K88" i="1" s="1"/>
  <c r="L88" i="1" s="1"/>
  <c r="M88" i="1" s="1"/>
  <c r="N88" i="1" s="1"/>
  <c r="G86" i="1"/>
  <c r="H86" i="1" s="1"/>
  <c r="I86" i="1" s="1"/>
  <c r="J86" i="1" s="1"/>
  <c r="K86" i="1" s="1"/>
  <c r="L86" i="1" s="1"/>
  <c r="M86" i="1" s="1"/>
  <c r="N86" i="1" s="1"/>
  <c r="E85" i="1"/>
  <c r="F85" i="1" s="1"/>
  <c r="G83" i="1"/>
  <c r="H83" i="1" s="1"/>
  <c r="I83" i="1" s="1"/>
  <c r="J83" i="1" s="1"/>
  <c r="K83" i="1" s="1"/>
  <c r="L83" i="1" s="1"/>
  <c r="M83" i="1" s="1"/>
  <c r="N83" i="1" s="1"/>
  <c r="E82" i="1"/>
  <c r="F82" i="1" s="1"/>
  <c r="G82" i="1" s="1"/>
  <c r="H82" i="1" s="1"/>
  <c r="I82" i="1" s="1"/>
  <c r="J82" i="1" s="1"/>
  <c r="K82" i="1" s="1"/>
  <c r="L82" i="1" s="1"/>
  <c r="M82" i="1" s="1"/>
  <c r="N82" i="1" s="1"/>
  <c r="G80" i="1"/>
  <c r="H80" i="1" s="1"/>
  <c r="I80" i="1" s="1"/>
  <c r="J80" i="1" s="1"/>
  <c r="K80" i="1" s="1"/>
  <c r="L80" i="1" s="1"/>
  <c r="M80" i="1" s="1"/>
  <c r="N80" i="1" s="1"/>
  <c r="E79" i="1"/>
  <c r="F79" i="1" s="1"/>
  <c r="G79" i="1" s="1"/>
  <c r="H79" i="1" s="1"/>
  <c r="I79" i="1" s="1"/>
  <c r="J79" i="1" s="1"/>
  <c r="K79" i="1" s="1"/>
  <c r="L79" i="1" s="1"/>
  <c r="M79" i="1" s="1"/>
  <c r="N79" i="1" s="1"/>
  <c r="E76" i="1"/>
  <c r="E75" i="1"/>
  <c r="E74" i="1"/>
  <c r="F72" i="1"/>
  <c r="G72" i="1" s="1"/>
  <c r="H72" i="1" s="1"/>
  <c r="I72" i="1" s="1"/>
  <c r="J72" i="1" s="1"/>
  <c r="K72" i="1" s="1"/>
  <c r="L72" i="1" s="1"/>
  <c r="M72" i="1" s="1"/>
  <c r="N72" i="1" s="1"/>
  <c r="E71" i="1"/>
  <c r="R70" i="1"/>
  <c r="R71" i="1" s="1"/>
  <c r="R72" i="1" s="1"/>
  <c r="R73" i="1" s="1"/>
  <c r="F69" i="1"/>
  <c r="G69" i="1" s="1"/>
  <c r="H69" i="1" s="1"/>
  <c r="I69" i="1" s="1"/>
  <c r="J69" i="1" s="1"/>
  <c r="K69" i="1" s="1"/>
  <c r="L69" i="1" s="1"/>
  <c r="M69" i="1" s="1"/>
  <c r="N69" i="1" s="1"/>
  <c r="T68" i="1"/>
  <c r="U68" i="1" s="1"/>
  <c r="V68" i="1" s="1"/>
  <c r="W68" i="1" s="1"/>
  <c r="E68" i="1"/>
  <c r="G63" i="1"/>
  <c r="H63" i="1" s="1"/>
  <c r="I63" i="1" s="1"/>
  <c r="J63" i="1" s="1"/>
  <c r="K63" i="1" s="1"/>
  <c r="L63" i="1" s="1"/>
  <c r="M63" i="1" s="1"/>
  <c r="N63" i="1" s="1"/>
  <c r="E62" i="1"/>
  <c r="R59" i="1"/>
  <c r="R60" i="1" s="1"/>
  <c r="R61" i="1" s="1"/>
  <c r="R62" i="1" s="1"/>
  <c r="G59" i="1"/>
  <c r="T57" i="1"/>
  <c r="U57" i="1" s="1"/>
  <c r="V57" i="1" s="1"/>
  <c r="W57" i="1" s="1"/>
  <c r="C57" i="1"/>
  <c r="D55" i="1"/>
  <c r="A50" i="1"/>
  <c r="P50" i="1" s="1"/>
  <c r="E46" i="1"/>
  <c r="E42" i="1"/>
  <c r="K40" i="1"/>
  <c r="E37" i="1"/>
  <c r="F35" i="1"/>
  <c r="F19" i="1" s="1"/>
  <c r="R33" i="1"/>
  <c r="R34" i="1" s="1"/>
  <c r="R35" i="1" s="1"/>
  <c r="R36" i="1" s="1"/>
  <c r="S31" i="1"/>
  <c r="K29" i="1"/>
  <c r="E29" i="1"/>
  <c r="F27" i="1"/>
  <c r="E27" i="1" s="1"/>
  <c r="R24" i="1"/>
  <c r="R25" i="1" s="1"/>
  <c r="F23" i="1"/>
  <c r="R22" i="1"/>
  <c r="R21" i="1"/>
  <c r="V20" i="1"/>
  <c r="W20" i="1" s="1"/>
  <c r="T20" i="1"/>
  <c r="S20" i="1" s="1"/>
  <c r="F20" i="1"/>
  <c r="F18" i="1"/>
  <c r="L13" i="1"/>
  <c r="H13" i="1"/>
  <c r="L12" i="1"/>
  <c r="H12" i="1"/>
  <c r="L11" i="1"/>
  <c r="H11" i="1"/>
  <c r="R10" i="1"/>
  <c r="R11" i="1" s="1"/>
  <c r="R12" i="1" s="1"/>
  <c r="R13" i="1" s="1"/>
  <c r="T8" i="1"/>
  <c r="I6" i="1"/>
  <c r="C22" i="5" s="1"/>
  <c r="G13" i="5" s="1"/>
  <c r="G85" i="1" l="1"/>
  <c r="H85" i="1" s="1"/>
  <c r="I85" i="1" s="1"/>
  <c r="J85" i="1" s="1"/>
  <c r="K85" i="1" s="1"/>
  <c r="L85" i="1" s="1"/>
  <c r="M85" i="1" s="1"/>
  <c r="N85" i="1" s="1"/>
  <c r="H59" i="3"/>
  <c r="D37" i="5"/>
  <c r="C48" i="5" s="1"/>
  <c r="H13" i="5"/>
  <c r="D38" i="5" s="1"/>
  <c r="C49" i="5" s="1"/>
  <c r="T31" i="1"/>
  <c r="U8" i="1"/>
  <c r="G19" i="3"/>
  <c r="D9" i="2"/>
  <c r="F24" i="1"/>
  <c r="G100" i="3"/>
  <c r="H100" i="3" s="1"/>
  <c r="D10" i="2"/>
  <c r="G20" i="3"/>
  <c r="H20" i="3" s="1"/>
  <c r="H24" i="3" s="1"/>
  <c r="D11" i="2"/>
  <c r="G23" i="3"/>
  <c r="D15" i="2"/>
  <c r="F29" i="1"/>
  <c r="F28" i="1"/>
  <c r="E28" i="1" s="1"/>
  <c r="G92" i="3"/>
  <c r="G96" i="3" s="1"/>
  <c r="H91" i="3" s="1"/>
  <c r="D20" i="2"/>
  <c r="M17" i="2"/>
  <c r="M18" i="2" s="1"/>
  <c r="F36" i="1"/>
  <c r="M22" i="2"/>
  <c r="F39" i="1"/>
  <c r="G83" i="3"/>
  <c r="M44" i="2"/>
  <c r="M29" i="2"/>
  <c r="F44" i="1"/>
  <c r="R105" i="3"/>
  <c r="Q105" i="3"/>
  <c r="P105" i="3"/>
  <c r="O105" i="3"/>
  <c r="N105" i="3"/>
  <c r="M105" i="3"/>
  <c r="L105" i="3"/>
  <c r="K105" i="3"/>
  <c r="J105" i="3"/>
  <c r="I105" i="3"/>
  <c r="H105" i="3"/>
  <c r="M33" i="2"/>
  <c r="F48" i="1"/>
  <c r="M34" i="2" s="1"/>
  <c r="H8" i="3"/>
  <c r="E55" i="1"/>
  <c r="G10" i="3"/>
  <c r="C58" i="1"/>
  <c r="G11" i="3" s="1"/>
  <c r="D57" i="1"/>
  <c r="K12" i="3"/>
  <c r="F9" i="4" s="1"/>
  <c r="H59" i="1"/>
  <c r="I14" i="3"/>
  <c r="D11" i="4" s="1"/>
  <c r="F62" i="1"/>
  <c r="F68" i="1"/>
  <c r="F71" i="1"/>
  <c r="F74" i="1"/>
  <c r="F75" i="1"/>
  <c r="F76" i="1"/>
  <c r="I56" i="3"/>
  <c r="F96" i="1"/>
  <c r="I57" i="3"/>
  <c r="F99" i="1"/>
  <c r="I58" i="3"/>
  <c r="F102" i="1"/>
  <c r="F8" i="2"/>
  <c r="B40" i="2"/>
  <c r="F20" i="5"/>
  <c r="H7" i="3"/>
  <c r="G87" i="3"/>
  <c r="G84" i="3"/>
  <c r="G82" i="3"/>
  <c r="C27" i="4"/>
  <c r="D27" i="4"/>
  <c r="D10" i="4"/>
  <c r="E27" i="4"/>
  <c r="E10" i="4"/>
  <c r="C11" i="4"/>
  <c r="H15" i="3"/>
  <c r="D23" i="4"/>
  <c r="E23" i="4"/>
  <c r="F23" i="4"/>
  <c r="C37" i="5"/>
  <c r="F42" i="5" s="1"/>
  <c r="C14" i="5"/>
  <c r="C59" i="5"/>
  <c r="F64" i="5" s="1"/>
  <c r="C15" i="5"/>
  <c r="C71" i="5"/>
  <c r="G14" i="5"/>
  <c r="C80" i="5"/>
  <c r="F85" i="5" s="1"/>
  <c r="E16" i="5"/>
  <c r="C102" i="5" s="1"/>
  <c r="C93" i="5"/>
  <c r="G15" i="5"/>
  <c r="C107" i="5"/>
  <c r="G16" i="5"/>
  <c r="G110" i="5"/>
  <c r="G109" i="5" s="1"/>
  <c r="G98" i="5"/>
  <c r="G97" i="5" s="1"/>
  <c r="G76" i="5"/>
  <c r="G75" i="5" s="1"/>
  <c r="G55" i="5"/>
  <c r="G54" i="5" s="1"/>
  <c r="G33" i="5"/>
  <c r="G32" i="5" s="1"/>
  <c r="H19" i="5"/>
  <c r="G84" i="5"/>
  <c r="G63" i="5"/>
  <c r="H84" i="5"/>
  <c r="H63" i="5"/>
  <c r="I84" i="5"/>
  <c r="I63" i="5"/>
  <c r="J84" i="5"/>
  <c r="J63" i="5"/>
  <c r="K84" i="5"/>
  <c r="K63" i="5"/>
  <c r="L84" i="5"/>
  <c r="L63" i="5"/>
  <c r="M84" i="5"/>
  <c r="M63" i="5"/>
  <c r="N84" i="5"/>
  <c r="N63" i="5"/>
  <c r="O84" i="5"/>
  <c r="O63" i="5"/>
  <c r="P84" i="5"/>
  <c r="P63" i="5"/>
  <c r="Q84" i="5"/>
  <c r="Q63" i="5"/>
  <c r="G85" i="3" l="1"/>
  <c r="H81" i="3" s="1"/>
  <c r="G24" i="3"/>
  <c r="G69" i="3" s="1"/>
  <c r="H110" i="5"/>
  <c r="H109" i="5" s="1"/>
  <c r="H98" i="5"/>
  <c r="H97" i="5" s="1"/>
  <c r="H76" i="5"/>
  <c r="H75" i="5" s="1"/>
  <c r="H55" i="5"/>
  <c r="H54" i="5" s="1"/>
  <c r="H33" i="5"/>
  <c r="H32" i="5" s="1"/>
  <c r="I19" i="5"/>
  <c r="H18" i="5"/>
  <c r="D102" i="5"/>
  <c r="C105" i="5" s="1"/>
  <c r="H16" i="5"/>
  <c r="D103" i="5" s="1"/>
  <c r="C106" i="5" s="1"/>
  <c r="D80" i="5"/>
  <c r="C91" i="5" s="1"/>
  <c r="H15" i="5"/>
  <c r="D81" i="5" s="1"/>
  <c r="C92" i="5" s="1"/>
  <c r="D59" i="5"/>
  <c r="C69" i="5" s="1"/>
  <c r="H14" i="5"/>
  <c r="D60" i="5" s="1"/>
  <c r="C70" i="5" s="1"/>
  <c r="C28" i="4"/>
  <c r="C13" i="4"/>
  <c r="C29" i="4" s="1"/>
  <c r="H88" i="3"/>
  <c r="H83" i="3"/>
  <c r="I7" i="3"/>
  <c r="H6" i="3"/>
  <c r="C6" i="4" s="1"/>
  <c r="F111" i="5"/>
  <c r="F99" i="5"/>
  <c r="F77" i="5"/>
  <c r="F56" i="5"/>
  <c r="F34" i="5"/>
  <c r="G20" i="5"/>
  <c r="B41" i="2"/>
  <c r="J58" i="3"/>
  <c r="G102" i="1"/>
  <c r="J57" i="3"/>
  <c r="G99" i="1"/>
  <c r="J56" i="3"/>
  <c r="G96" i="1"/>
  <c r="I59" i="3"/>
  <c r="G76" i="1"/>
  <c r="G75" i="1"/>
  <c r="G74" i="1"/>
  <c r="G71" i="1"/>
  <c r="G68" i="1"/>
  <c r="J14" i="3"/>
  <c r="G62" i="1"/>
  <c r="I15" i="3"/>
  <c r="L12" i="3"/>
  <c r="I59" i="1"/>
  <c r="F27" i="4"/>
  <c r="F10" i="4"/>
  <c r="H10" i="3"/>
  <c r="D58" i="1"/>
  <c r="E57" i="1"/>
  <c r="I8" i="3"/>
  <c r="F55" i="1"/>
  <c r="H128" i="3"/>
  <c r="H106" i="3"/>
  <c r="H94" i="3"/>
  <c r="H87" i="3"/>
  <c r="H84" i="3"/>
  <c r="H82" i="3"/>
  <c r="H66" i="3"/>
  <c r="H65" i="3"/>
  <c r="H67" i="3" s="1"/>
  <c r="H64" i="3"/>
  <c r="G104" i="3"/>
  <c r="G108" i="3" s="1"/>
  <c r="H103" i="3" s="1"/>
  <c r="M28" i="2"/>
  <c r="D21" i="2"/>
  <c r="F45" i="1"/>
  <c r="M23" i="2"/>
  <c r="G98" i="3"/>
  <c r="M20" i="2"/>
  <c r="D14" i="2"/>
  <c r="F20" i="2"/>
  <c r="H134" i="3"/>
  <c r="H99" i="3"/>
  <c r="H93" i="3" s="1"/>
  <c r="F9" i="2"/>
  <c r="F10" i="2" s="1"/>
  <c r="F11" i="2" s="1"/>
  <c r="F12" i="2" s="1"/>
  <c r="F13" i="2" s="1"/>
  <c r="U31" i="1"/>
  <c r="V8" i="1"/>
  <c r="H95" i="3" l="1"/>
  <c r="H96" i="3" s="1"/>
  <c r="I91" i="3" s="1"/>
  <c r="H85" i="3"/>
  <c r="I81" i="3" s="1"/>
  <c r="J59" i="3"/>
  <c r="V31" i="1"/>
  <c r="W8" i="1"/>
  <c r="W31" i="1" s="1"/>
  <c r="I134" i="3"/>
  <c r="I99" i="3"/>
  <c r="I93" i="3"/>
  <c r="F14" i="2"/>
  <c r="F15" i="2" s="1"/>
  <c r="G110" i="3"/>
  <c r="M31" i="2"/>
  <c r="F21" i="2"/>
  <c r="H135" i="3"/>
  <c r="H136" i="3" s="1"/>
  <c r="H140" i="3" s="1"/>
  <c r="H111" i="3"/>
  <c r="H131" i="3" s="1"/>
  <c r="H107" i="3"/>
  <c r="H108" i="3" s="1"/>
  <c r="I103" i="3" s="1"/>
  <c r="I88" i="3"/>
  <c r="I83" i="3"/>
  <c r="J8" i="3"/>
  <c r="G55" i="1"/>
  <c r="I128" i="3"/>
  <c r="I106" i="3"/>
  <c r="I94" i="3"/>
  <c r="I87" i="3"/>
  <c r="I84" i="3"/>
  <c r="I82" i="3"/>
  <c r="I66" i="3"/>
  <c r="I65" i="3"/>
  <c r="I67" i="3" s="1"/>
  <c r="I64" i="3"/>
  <c r="I10" i="3"/>
  <c r="E58" i="1"/>
  <c r="F57" i="1"/>
  <c r="H11" i="3"/>
  <c r="D60" i="1"/>
  <c r="H13" i="3" s="1"/>
  <c r="H45" i="3"/>
  <c r="H44" i="3"/>
  <c r="H43" i="3"/>
  <c r="H42" i="3"/>
  <c r="H41" i="3"/>
  <c r="M12" i="3"/>
  <c r="J59" i="1"/>
  <c r="D28" i="4"/>
  <c r="D12" i="4"/>
  <c r="D13" i="4"/>
  <c r="K14" i="3"/>
  <c r="H62" i="1"/>
  <c r="E11" i="4"/>
  <c r="J15" i="3"/>
  <c r="H68" i="1"/>
  <c r="H71" i="1"/>
  <c r="H74" i="1"/>
  <c r="H75" i="1"/>
  <c r="H76" i="1"/>
  <c r="K56" i="3"/>
  <c r="H96" i="1"/>
  <c r="K57" i="3"/>
  <c r="H99" i="1"/>
  <c r="K58" i="3"/>
  <c r="H102" i="1"/>
  <c r="B42" i="2"/>
  <c r="G111" i="5"/>
  <c r="G99" i="5"/>
  <c r="G77" i="5"/>
  <c r="G56" i="5"/>
  <c r="G34" i="5"/>
  <c r="H20" i="5"/>
  <c r="J7" i="3"/>
  <c r="I6" i="3"/>
  <c r="D6" i="4" s="1"/>
  <c r="I110" i="5"/>
  <c r="I109" i="5" s="1"/>
  <c r="I98" i="5"/>
  <c r="I97" i="5" s="1"/>
  <c r="I76" i="5"/>
  <c r="I75" i="5" s="1"/>
  <c r="I55" i="5"/>
  <c r="I54" i="5" s="1"/>
  <c r="I33" i="5"/>
  <c r="I32" i="5" s="1"/>
  <c r="J19" i="5"/>
  <c r="I18" i="5"/>
  <c r="I85" i="3" l="1"/>
  <c r="J81" i="3" s="1"/>
  <c r="H46" i="3"/>
  <c r="J110" i="5"/>
  <c r="J109" i="5" s="1"/>
  <c r="J98" i="5"/>
  <c r="J97" i="5" s="1"/>
  <c r="J76" i="5"/>
  <c r="J75" i="5" s="1"/>
  <c r="J55" i="5"/>
  <c r="J54" i="5" s="1"/>
  <c r="J33" i="5"/>
  <c r="J32" i="5" s="1"/>
  <c r="K19" i="5"/>
  <c r="J18" i="5"/>
  <c r="K7" i="3"/>
  <c r="J6" i="3"/>
  <c r="E6" i="4" s="1"/>
  <c r="H111" i="5"/>
  <c r="H99" i="5"/>
  <c r="H77" i="5"/>
  <c r="H56" i="5"/>
  <c r="H34" i="5"/>
  <c r="I20" i="5"/>
  <c r="B43" i="2"/>
  <c r="L58" i="3"/>
  <c r="I102" i="1"/>
  <c r="L57" i="3"/>
  <c r="I99" i="1"/>
  <c r="L56" i="3"/>
  <c r="I96" i="1"/>
  <c r="K59" i="3"/>
  <c r="I76" i="1"/>
  <c r="I75" i="1"/>
  <c r="I74" i="1"/>
  <c r="I71" i="1"/>
  <c r="I68" i="1"/>
  <c r="E28" i="4"/>
  <c r="E12" i="4"/>
  <c r="E13" i="4"/>
  <c r="L14" i="3"/>
  <c r="I62" i="1"/>
  <c r="F11" i="4"/>
  <c r="K15" i="3"/>
  <c r="D29" i="4"/>
  <c r="D14" i="4"/>
  <c r="N12" i="3"/>
  <c r="K59" i="1"/>
  <c r="H29" i="3"/>
  <c r="H35" i="3" s="1"/>
  <c r="H28" i="3"/>
  <c r="H34" i="3" s="1"/>
  <c r="H27" i="3"/>
  <c r="J10" i="3"/>
  <c r="F58" i="1"/>
  <c r="G57" i="1"/>
  <c r="I11" i="3"/>
  <c r="E60" i="1"/>
  <c r="I13" i="3" s="1"/>
  <c r="I45" i="3"/>
  <c r="I44" i="3"/>
  <c r="I43" i="3"/>
  <c r="I42" i="3"/>
  <c r="I41" i="3"/>
  <c r="J88" i="3"/>
  <c r="J83" i="3"/>
  <c r="K8" i="3"/>
  <c r="H55" i="1"/>
  <c r="J128" i="3"/>
  <c r="J106" i="3"/>
  <c r="J94" i="3"/>
  <c r="J84" i="3"/>
  <c r="J66" i="3"/>
  <c r="J65" i="3"/>
  <c r="J67" i="3" s="1"/>
  <c r="J64" i="3"/>
  <c r="I135" i="3"/>
  <c r="I111" i="3"/>
  <c r="I131" i="3" s="1"/>
  <c r="I95" i="3"/>
  <c r="I136" i="3"/>
  <c r="I140" i="3" s="1"/>
  <c r="L59" i="3" l="1"/>
  <c r="I46" i="3"/>
  <c r="I107" i="3"/>
  <c r="I108" i="3" s="1"/>
  <c r="J103" i="3" s="1"/>
  <c r="I96" i="3"/>
  <c r="J91" i="3" s="1"/>
  <c r="L8" i="3"/>
  <c r="I55" i="1"/>
  <c r="K128" i="3"/>
  <c r="K106" i="3"/>
  <c r="K94" i="3"/>
  <c r="K87" i="3"/>
  <c r="K84" i="3"/>
  <c r="K82" i="3"/>
  <c r="K66" i="3"/>
  <c r="K65" i="3"/>
  <c r="K67" i="3" s="1"/>
  <c r="K64" i="3"/>
  <c r="I28" i="3"/>
  <c r="I34" i="3" s="1"/>
  <c r="I29" i="3"/>
  <c r="I35" i="3" s="1"/>
  <c r="I27" i="3"/>
  <c r="K10" i="3"/>
  <c r="G58" i="1"/>
  <c r="H57" i="1"/>
  <c r="J11" i="3"/>
  <c r="F60" i="1"/>
  <c r="J13" i="3" s="1"/>
  <c r="J45" i="3"/>
  <c r="J44" i="3"/>
  <c r="J43" i="3"/>
  <c r="J42" i="3"/>
  <c r="J41" i="3"/>
  <c r="H33" i="3"/>
  <c r="H36" i="3" s="1"/>
  <c r="H30" i="3"/>
  <c r="O12" i="3"/>
  <c r="L59" i="1"/>
  <c r="F28" i="4"/>
  <c r="F12" i="4"/>
  <c r="F13" i="4"/>
  <c r="M14" i="3"/>
  <c r="J62" i="1"/>
  <c r="L15" i="3"/>
  <c r="E29" i="4"/>
  <c r="E14" i="4"/>
  <c r="J68" i="1"/>
  <c r="J71" i="1"/>
  <c r="J74" i="1"/>
  <c r="J75" i="1"/>
  <c r="J76" i="1"/>
  <c r="M56" i="3"/>
  <c r="J96" i="1"/>
  <c r="M57" i="3"/>
  <c r="J99" i="1"/>
  <c r="M58" i="3"/>
  <c r="J102" i="1"/>
  <c r="B44" i="2"/>
  <c r="I111" i="5"/>
  <c r="I99" i="5"/>
  <c r="I77" i="5"/>
  <c r="I56" i="5"/>
  <c r="I34" i="5"/>
  <c r="J20" i="5"/>
  <c r="L7" i="3"/>
  <c r="K6" i="3"/>
  <c r="F6" i="4" s="1"/>
  <c r="K110" i="5"/>
  <c r="K109" i="5" s="1"/>
  <c r="K98" i="5"/>
  <c r="K97" i="5" s="1"/>
  <c r="K76" i="5"/>
  <c r="K75" i="5" s="1"/>
  <c r="K55" i="5"/>
  <c r="K54" i="5" s="1"/>
  <c r="K33" i="5"/>
  <c r="K32" i="5" s="1"/>
  <c r="L19" i="5"/>
  <c r="K18" i="5"/>
  <c r="J46" i="3" l="1"/>
  <c r="L110" i="5"/>
  <c r="L109" i="5" s="1"/>
  <c r="L98" i="5"/>
  <c r="L97" i="5" s="1"/>
  <c r="L76" i="5"/>
  <c r="L75" i="5" s="1"/>
  <c r="L55" i="5"/>
  <c r="L54" i="5" s="1"/>
  <c r="L33" i="5"/>
  <c r="L32" i="5" s="1"/>
  <c r="M19" i="5"/>
  <c r="L18" i="5"/>
  <c r="M7" i="3"/>
  <c r="L6" i="3"/>
  <c r="J111" i="5"/>
  <c r="J99" i="5"/>
  <c r="J77" i="5"/>
  <c r="J56" i="5"/>
  <c r="J34" i="5"/>
  <c r="K20" i="5"/>
  <c r="B45" i="2"/>
  <c r="N58" i="3"/>
  <c r="K102" i="1"/>
  <c r="N57" i="3"/>
  <c r="K99" i="1"/>
  <c r="N56" i="3"/>
  <c r="K96" i="1"/>
  <c r="M59" i="3"/>
  <c r="K76" i="1"/>
  <c r="K75" i="1"/>
  <c r="K74" i="1"/>
  <c r="K71" i="1"/>
  <c r="K68" i="1"/>
  <c r="N14" i="3"/>
  <c r="K62" i="1"/>
  <c r="M15" i="3"/>
  <c r="F29" i="4"/>
  <c r="F14" i="4"/>
  <c r="P12" i="3"/>
  <c r="M59" i="1"/>
  <c r="H51" i="3"/>
  <c r="H38" i="3"/>
  <c r="H49" i="3" s="1"/>
  <c r="J29" i="3"/>
  <c r="J35" i="3" s="1"/>
  <c r="J28" i="3"/>
  <c r="J34" i="3" s="1"/>
  <c r="J27" i="3"/>
  <c r="L10" i="3"/>
  <c r="H58" i="1"/>
  <c r="I57" i="1"/>
  <c r="K11" i="3"/>
  <c r="G60" i="1"/>
  <c r="K13" i="3" s="1"/>
  <c r="K45" i="3"/>
  <c r="K44" i="3"/>
  <c r="K43" i="3"/>
  <c r="K42" i="3"/>
  <c r="K41" i="3"/>
  <c r="I30" i="3"/>
  <c r="I33" i="3"/>
  <c r="I36" i="3" s="1"/>
  <c r="M8" i="3"/>
  <c r="C42" i="2" s="1" a="1"/>
  <c r="C42" i="2" s="1"/>
  <c r="J55" i="1"/>
  <c r="L128" i="3"/>
  <c r="L106" i="3"/>
  <c r="L94" i="3"/>
  <c r="L87" i="3"/>
  <c r="L84" i="3"/>
  <c r="L82" i="3"/>
  <c r="L66" i="3"/>
  <c r="L65" i="3"/>
  <c r="L64" i="3"/>
  <c r="C38" i="2" a="1"/>
  <c r="C38" i="2" s="1"/>
  <c r="C39" i="2" a="1"/>
  <c r="C39" i="2" s="1"/>
  <c r="C40" i="2" a="1"/>
  <c r="C40" i="2" s="1"/>
  <c r="C41" i="2" a="1"/>
  <c r="C41" i="2" s="1"/>
  <c r="J134" i="3"/>
  <c r="J99" i="3"/>
  <c r="J93" i="3"/>
  <c r="J135" i="3"/>
  <c r="J111" i="3"/>
  <c r="L67" i="3" l="1"/>
  <c r="K46" i="3"/>
  <c r="J131" i="3"/>
  <c r="H53" i="3"/>
  <c r="H61" i="3" s="1"/>
  <c r="N59" i="3"/>
  <c r="J136" i="3"/>
  <c r="J140" i="3" s="1"/>
  <c r="N8" i="3"/>
  <c r="K55" i="1"/>
  <c r="M128" i="3"/>
  <c r="M106" i="3"/>
  <c r="M94" i="3"/>
  <c r="M87" i="3"/>
  <c r="M84" i="3"/>
  <c r="M82" i="3"/>
  <c r="M66" i="3"/>
  <c r="M65" i="3"/>
  <c r="M67" i="3" s="1"/>
  <c r="M64" i="3"/>
  <c r="I51" i="3"/>
  <c r="I38" i="3"/>
  <c r="I49" i="3" s="1"/>
  <c r="I53" i="3" s="1"/>
  <c r="K28" i="3"/>
  <c r="K34" i="3" s="1"/>
  <c r="K29" i="3"/>
  <c r="K35" i="3" s="1"/>
  <c r="K27" i="3"/>
  <c r="M10" i="3"/>
  <c r="I58" i="1"/>
  <c r="J57" i="1"/>
  <c r="L11" i="3"/>
  <c r="H60" i="1"/>
  <c r="L13" i="3" s="1"/>
  <c r="L45" i="3"/>
  <c r="L44" i="3"/>
  <c r="L43" i="3"/>
  <c r="L42" i="3"/>
  <c r="L41" i="3"/>
  <c r="L46" i="3" s="1"/>
  <c r="J30" i="3"/>
  <c r="J33" i="3"/>
  <c r="J36" i="3" s="1"/>
  <c r="Q12" i="3"/>
  <c r="N59" i="1"/>
  <c r="R12" i="3" s="1"/>
  <c r="O14" i="3"/>
  <c r="L62" i="1"/>
  <c r="N15" i="3"/>
  <c r="L68" i="1"/>
  <c r="L71" i="1"/>
  <c r="L74" i="1"/>
  <c r="L75" i="1"/>
  <c r="L76" i="1"/>
  <c r="O56" i="3"/>
  <c r="L96" i="1"/>
  <c r="O57" i="3"/>
  <c r="L99" i="1"/>
  <c r="O58" i="3"/>
  <c r="L102" i="1"/>
  <c r="B46" i="2"/>
  <c r="K111" i="5"/>
  <c r="K99" i="5"/>
  <c r="K77" i="5"/>
  <c r="K56" i="5"/>
  <c r="K34" i="5"/>
  <c r="L20" i="5"/>
  <c r="N7" i="3"/>
  <c r="M6" i="3"/>
  <c r="M110" i="5"/>
  <c r="M109" i="5" s="1"/>
  <c r="M98" i="5"/>
  <c r="M97" i="5" s="1"/>
  <c r="M76" i="5"/>
  <c r="M75" i="5" s="1"/>
  <c r="M55" i="5"/>
  <c r="M54" i="5" s="1"/>
  <c r="M33" i="5"/>
  <c r="M32" i="5" s="1"/>
  <c r="N19" i="5"/>
  <c r="M18" i="5"/>
  <c r="D65" i="1" l="1"/>
  <c r="Q9" i="1"/>
  <c r="Q13" i="1"/>
  <c r="Q10" i="1"/>
  <c r="Q11" i="1"/>
  <c r="Q12" i="1"/>
  <c r="N110" i="5"/>
  <c r="N109" i="5" s="1"/>
  <c r="N98" i="5"/>
  <c r="N97" i="5" s="1"/>
  <c r="N76" i="5"/>
  <c r="N75" i="5" s="1"/>
  <c r="N55" i="5"/>
  <c r="N54" i="5" s="1"/>
  <c r="N33" i="5"/>
  <c r="N32" i="5" s="1"/>
  <c r="O19" i="5"/>
  <c r="N18" i="5"/>
  <c r="O7" i="3"/>
  <c r="N6" i="3"/>
  <c r="L111" i="5"/>
  <c r="L99" i="5"/>
  <c r="L77" i="5"/>
  <c r="L56" i="5"/>
  <c r="L34" i="5"/>
  <c r="M20" i="5"/>
  <c r="B47" i="2"/>
  <c r="P58" i="3"/>
  <c r="M102" i="1"/>
  <c r="P57" i="3"/>
  <c r="M99" i="1"/>
  <c r="P56" i="3"/>
  <c r="M96" i="1"/>
  <c r="O59" i="3"/>
  <c r="M76" i="1"/>
  <c r="M75" i="1"/>
  <c r="M74" i="1"/>
  <c r="M71" i="1"/>
  <c r="M68" i="1"/>
  <c r="P14" i="3"/>
  <c r="M62" i="1"/>
  <c r="O15" i="3"/>
  <c r="H130" i="3"/>
  <c r="H62" i="3"/>
  <c r="M35" i="2"/>
  <c r="M24" i="2"/>
  <c r="D66" i="1"/>
  <c r="E17" i="1"/>
  <c r="H69" i="3"/>
  <c r="J51" i="3"/>
  <c r="J38" i="3"/>
  <c r="J49" i="3" s="1"/>
  <c r="L29" i="3"/>
  <c r="L35" i="3" s="1"/>
  <c r="L28" i="3"/>
  <c r="L34" i="3" s="1"/>
  <c r="L27" i="3"/>
  <c r="N10" i="3"/>
  <c r="J58" i="1"/>
  <c r="K57" i="1"/>
  <c r="M11" i="3"/>
  <c r="I60" i="1"/>
  <c r="M13" i="3" s="1"/>
  <c r="M45" i="3"/>
  <c r="M44" i="3"/>
  <c r="M43" i="3"/>
  <c r="M42" i="3"/>
  <c r="M41" i="3"/>
  <c r="K30" i="3"/>
  <c r="K33" i="3"/>
  <c r="K36" i="3" s="1"/>
  <c r="I61" i="3"/>
  <c r="E65" i="1"/>
  <c r="O8" i="3"/>
  <c r="L55" i="1"/>
  <c r="N128" i="3"/>
  <c r="N87" i="3"/>
  <c r="N82" i="3"/>
  <c r="N64" i="3"/>
  <c r="M46" i="3" l="1"/>
  <c r="P59" i="3"/>
  <c r="J53" i="3"/>
  <c r="P8" i="3"/>
  <c r="C45" i="2" s="1" a="1"/>
  <c r="C45" i="2" s="1"/>
  <c r="M55" i="1"/>
  <c r="O128" i="3"/>
  <c r="O106" i="3"/>
  <c r="O94" i="3"/>
  <c r="O87" i="3"/>
  <c r="O84" i="3"/>
  <c r="O82" i="3"/>
  <c r="O69" i="3"/>
  <c r="O70" i="3" s="1"/>
  <c r="O66" i="3"/>
  <c r="O65" i="3"/>
  <c r="O67" i="3" s="1"/>
  <c r="O64" i="3"/>
  <c r="C43" i="2" a="1"/>
  <c r="C43" i="2" s="1"/>
  <c r="C44" i="2" a="1"/>
  <c r="C44" i="2" s="1"/>
  <c r="H139" i="3"/>
  <c r="H141" i="3" s="1"/>
  <c r="I130" i="3"/>
  <c r="I62" i="3"/>
  <c r="E66" i="1"/>
  <c r="I69" i="3"/>
  <c r="I70" i="3" s="1"/>
  <c r="I113" i="3" s="1"/>
  <c r="I114" i="3" s="1"/>
  <c r="D38" i="2" a="1"/>
  <c r="D38" i="2" s="1"/>
  <c r="F38" i="2" s="1"/>
  <c r="G38" i="2" s="1"/>
  <c r="K51" i="3"/>
  <c r="K38" i="3"/>
  <c r="K49" i="3" s="1"/>
  <c r="M28" i="3"/>
  <c r="M34" i="3" s="1"/>
  <c r="M29" i="3"/>
  <c r="M35" i="3" s="1"/>
  <c r="M27" i="3"/>
  <c r="O10" i="3"/>
  <c r="K58" i="1"/>
  <c r="L57" i="1"/>
  <c r="N11" i="3"/>
  <c r="J60" i="1"/>
  <c r="N13" i="3" s="1"/>
  <c r="N45" i="3"/>
  <c r="N44" i="3"/>
  <c r="N43" i="3"/>
  <c r="N42" i="3"/>
  <c r="N41" i="3"/>
  <c r="L30" i="3"/>
  <c r="L33" i="3"/>
  <c r="L36" i="3" s="1"/>
  <c r="J61" i="3"/>
  <c r="F65" i="1"/>
  <c r="H70" i="3"/>
  <c r="H113" i="3" s="1"/>
  <c r="H114" i="3" s="1"/>
  <c r="H137" i="3"/>
  <c r="H132" i="3"/>
  <c r="Q14" i="3"/>
  <c r="N62" i="1"/>
  <c r="R14" i="3" s="1"/>
  <c r="P15" i="3"/>
  <c r="N68" i="1"/>
  <c r="N71" i="1"/>
  <c r="N74" i="1"/>
  <c r="N75" i="1"/>
  <c r="N76" i="1"/>
  <c r="Q56" i="3"/>
  <c r="N96" i="1"/>
  <c r="R56" i="3" s="1"/>
  <c r="Q57" i="3"/>
  <c r="N99" i="1"/>
  <c r="R57" i="3" s="1"/>
  <c r="Q58" i="3"/>
  <c r="N102" i="1"/>
  <c r="R58" i="3" s="1"/>
  <c r="M111" i="5"/>
  <c r="M99" i="5"/>
  <c r="M77" i="5"/>
  <c r="M56" i="5"/>
  <c r="M34" i="5"/>
  <c r="N20" i="5"/>
  <c r="P7" i="3"/>
  <c r="O6" i="3"/>
  <c r="O110" i="5"/>
  <c r="O109" i="5" s="1"/>
  <c r="O98" i="5"/>
  <c r="O97" i="5" s="1"/>
  <c r="O76" i="5"/>
  <c r="O75" i="5" s="1"/>
  <c r="O55" i="5"/>
  <c r="O54" i="5" s="1"/>
  <c r="O33" i="5"/>
  <c r="O32" i="5" s="1"/>
  <c r="P19" i="5"/>
  <c r="O18" i="5"/>
  <c r="N46" i="3" l="1"/>
  <c r="K53" i="3"/>
  <c r="P110" i="5"/>
  <c r="P109" i="5" s="1"/>
  <c r="P98" i="5"/>
  <c r="P97" i="5" s="1"/>
  <c r="P76" i="5"/>
  <c r="P75" i="5" s="1"/>
  <c r="P55" i="5"/>
  <c r="P54" i="5" s="1"/>
  <c r="P33" i="5"/>
  <c r="P32" i="5" s="1"/>
  <c r="Q19" i="5"/>
  <c r="P18" i="5"/>
  <c r="Q7" i="3"/>
  <c r="P6" i="3"/>
  <c r="N111" i="5"/>
  <c r="N99" i="5"/>
  <c r="N77" i="5"/>
  <c r="N56" i="5"/>
  <c r="N34" i="5"/>
  <c r="O20" i="5"/>
  <c r="R59" i="3"/>
  <c r="Q59" i="3"/>
  <c r="R15" i="3"/>
  <c r="Q15" i="3"/>
  <c r="G26" i="5"/>
  <c r="I139" i="3"/>
  <c r="I141" i="3" s="1"/>
  <c r="J130" i="3"/>
  <c r="J62" i="3"/>
  <c r="M36" i="2"/>
  <c r="M25" i="2"/>
  <c r="F66" i="1"/>
  <c r="J69" i="3"/>
  <c r="D39" i="2" a="1"/>
  <c r="D39" i="2" s="1"/>
  <c r="L51" i="3"/>
  <c r="L38" i="3"/>
  <c r="L49" i="3" s="1"/>
  <c r="L53" i="3" s="1"/>
  <c r="N29" i="3"/>
  <c r="N35" i="3" s="1"/>
  <c r="N28" i="3"/>
  <c r="N34" i="3" s="1"/>
  <c r="N27" i="3"/>
  <c r="P10" i="3"/>
  <c r="L58" i="1"/>
  <c r="M57" i="1"/>
  <c r="O11" i="3"/>
  <c r="K60" i="1"/>
  <c r="O13" i="3" s="1"/>
  <c r="O45" i="3"/>
  <c r="O44" i="3"/>
  <c r="O43" i="3"/>
  <c r="O42" i="3"/>
  <c r="O41" i="3"/>
  <c r="M30" i="3"/>
  <c r="M33" i="3"/>
  <c r="M36" i="3" s="1"/>
  <c r="K61" i="3"/>
  <c r="G65" i="1"/>
  <c r="H26" i="5"/>
  <c r="I137" i="3"/>
  <c r="I132" i="3"/>
  <c r="Q8" i="3"/>
  <c r="N55" i="1"/>
  <c r="R8" i="3" s="1"/>
  <c r="P128" i="3"/>
  <c r="P106" i="3"/>
  <c r="P94" i="3"/>
  <c r="P87" i="3"/>
  <c r="P84" i="3"/>
  <c r="P82" i="3"/>
  <c r="P69" i="3"/>
  <c r="P70" i="3" s="1"/>
  <c r="P66" i="3"/>
  <c r="P65" i="3"/>
  <c r="P67" i="3" s="1"/>
  <c r="P64" i="3"/>
  <c r="O46" i="3" l="1"/>
  <c r="R128" i="3"/>
  <c r="R106" i="3"/>
  <c r="R94" i="3"/>
  <c r="R87" i="3"/>
  <c r="R84" i="3"/>
  <c r="R82" i="3"/>
  <c r="R69" i="3"/>
  <c r="R70" i="3" s="1"/>
  <c r="R66" i="3"/>
  <c r="R65" i="3"/>
  <c r="R67" i="3" s="1"/>
  <c r="R64" i="3"/>
  <c r="Q128" i="3"/>
  <c r="Q106" i="3"/>
  <c r="Q94" i="3"/>
  <c r="Q87" i="3"/>
  <c r="Q84" i="3"/>
  <c r="Q82" i="3"/>
  <c r="Q69" i="3"/>
  <c r="Q70" i="3" s="1"/>
  <c r="Q66" i="3"/>
  <c r="Q65" i="3"/>
  <c r="Q64" i="3"/>
  <c r="C46" i="2" a="1"/>
  <c r="C46" i="2" s="1"/>
  <c r="C47" i="2" a="1"/>
  <c r="C47" i="2" s="1"/>
  <c r="H114" i="5"/>
  <c r="H25" i="5"/>
  <c r="J139" i="3"/>
  <c r="J141" i="3" s="1"/>
  <c r="K130" i="3"/>
  <c r="K62" i="3"/>
  <c r="G66" i="1"/>
  <c r="L31" i="1" a="1"/>
  <c r="L31" i="1" s="1"/>
  <c r="L33" i="1" s="1"/>
  <c r="L38" i="1" s="1"/>
  <c r="K69" i="3"/>
  <c r="K70" i="3" s="1"/>
  <c r="D40" i="2" a="1"/>
  <c r="D40" i="2" s="1"/>
  <c r="M51" i="3"/>
  <c r="M38" i="3"/>
  <c r="M49" i="3" s="1"/>
  <c r="M53" i="3" s="1"/>
  <c r="O28" i="3"/>
  <c r="O34" i="3" s="1"/>
  <c r="O29" i="3"/>
  <c r="O35" i="3" s="1"/>
  <c r="O27" i="3"/>
  <c r="Q10" i="3"/>
  <c r="M58" i="1"/>
  <c r="N57" i="1"/>
  <c r="P11" i="3"/>
  <c r="L60" i="1"/>
  <c r="P13" i="3" s="1"/>
  <c r="P45" i="3"/>
  <c r="P44" i="3"/>
  <c r="P43" i="3"/>
  <c r="P42" i="3"/>
  <c r="P41" i="3"/>
  <c r="N30" i="3"/>
  <c r="N33" i="3"/>
  <c r="N36" i="3" s="1"/>
  <c r="L61" i="3"/>
  <c r="H65" i="1"/>
  <c r="F39" i="2"/>
  <c r="G39" i="2" s="1"/>
  <c r="E39" i="2"/>
  <c r="J70" i="3"/>
  <c r="J137" i="3"/>
  <c r="J132" i="3"/>
  <c r="G114" i="5"/>
  <c r="G25" i="5"/>
  <c r="O111" i="5"/>
  <c r="O99" i="5"/>
  <c r="O77" i="5"/>
  <c r="O56" i="5"/>
  <c r="O34" i="5"/>
  <c r="P20" i="5"/>
  <c r="R7" i="3"/>
  <c r="R6" i="3" s="1"/>
  <c r="Q6" i="3"/>
  <c r="Q110" i="5"/>
  <c r="Q109" i="5" s="1"/>
  <c r="Q98" i="5"/>
  <c r="Q97" i="5" s="1"/>
  <c r="Q76" i="5"/>
  <c r="Q75" i="5" s="1"/>
  <c r="Q55" i="5"/>
  <c r="Q54" i="5" s="1"/>
  <c r="Q33" i="5"/>
  <c r="Q32" i="5" s="1"/>
  <c r="Q18" i="5"/>
  <c r="Q67" i="3" l="1"/>
  <c r="P46" i="3"/>
  <c r="P111" i="5"/>
  <c r="P99" i="5"/>
  <c r="P77" i="5"/>
  <c r="P56" i="5"/>
  <c r="P34" i="5"/>
  <c r="Q20" i="5"/>
  <c r="K139" i="3"/>
  <c r="L130" i="3"/>
  <c r="L62" i="3"/>
  <c r="H66" i="1"/>
  <c r="D41" i="2" a="1"/>
  <c r="D41" i="2" s="1"/>
  <c r="L69" i="3"/>
  <c r="N51" i="3"/>
  <c r="N38" i="3"/>
  <c r="N49" i="3" s="1"/>
  <c r="N53" i="3" s="1"/>
  <c r="AG18" i="1" a="1"/>
  <c r="AG18" i="1" s="1"/>
  <c r="P29" i="3"/>
  <c r="P35" i="3" s="1"/>
  <c r="P28" i="3"/>
  <c r="P34" i="3" s="1"/>
  <c r="P27" i="3"/>
  <c r="R10" i="3"/>
  <c r="N58" i="1"/>
  <c r="Q11" i="3"/>
  <c r="M60" i="1"/>
  <c r="Q13" i="3" s="1"/>
  <c r="Q45" i="3"/>
  <c r="Q44" i="3"/>
  <c r="Q43" i="3"/>
  <c r="Q42" i="3"/>
  <c r="Q41" i="3"/>
  <c r="O30" i="3"/>
  <c r="O33" i="3"/>
  <c r="O36" i="3" s="1"/>
  <c r="M61" i="3"/>
  <c r="I65" i="1"/>
  <c r="F40" i="2"/>
  <c r="G40" i="2" s="1"/>
  <c r="E40" i="2"/>
  <c r="M39" i="2"/>
  <c r="L39" i="1"/>
  <c r="L42" i="1"/>
  <c r="M45" i="2" s="1"/>
  <c r="J82" i="3"/>
  <c r="Q46" i="3" l="1"/>
  <c r="J85" i="3"/>
  <c r="K81" i="3" s="1"/>
  <c r="M42" i="2"/>
  <c r="J87" i="3"/>
  <c r="L139" i="3"/>
  <c r="M130" i="3"/>
  <c r="M62" i="3"/>
  <c r="I66" i="1"/>
  <c r="M69" i="3"/>
  <c r="M70" i="3" s="1"/>
  <c r="D42" i="2" a="1"/>
  <c r="D42" i="2" s="1"/>
  <c r="O51" i="3"/>
  <c r="O38" i="3"/>
  <c r="O49" i="3" s="1"/>
  <c r="O53" i="3" s="1"/>
  <c r="Q28" i="3"/>
  <c r="Q34" i="3" s="1"/>
  <c r="Q29" i="3"/>
  <c r="Q35" i="3" s="1"/>
  <c r="Q27" i="3"/>
  <c r="R11" i="3"/>
  <c r="N60" i="1"/>
  <c r="R13" i="3" s="1"/>
  <c r="R45" i="3"/>
  <c r="R44" i="3"/>
  <c r="R43" i="3"/>
  <c r="R42" i="3"/>
  <c r="R41" i="3"/>
  <c r="P30" i="3"/>
  <c r="P33" i="3"/>
  <c r="P36" i="3" s="1"/>
  <c r="N61" i="3"/>
  <c r="J65" i="1"/>
  <c r="L70" i="3"/>
  <c r="F41" i="2"/>
  <c r="G41" i="2" s="1"/>
  <c r="E41" i="2"/>
  <c r="Q111" i="5"/>
  <c r="Q99" i="5"/>
  <c r="Q77" i="5"/>
  <c r="Q56" i="5"/>
  <c r="Q34" i="5"/>
  <c r="R46" i="3" l="1"/>
  <c r="M139" i="3"/>
  <c r="N130" i="3"/>
  <c r="N62" i="3"/>
  <c r="J66" i="1"/>
  <c r="AG19" i="1" a="1"/>
  <c r="AG19" i="1" s="1"/>
  <c r="AG20" i="1" s="1"/>
  <c r="D43" i="2" a="1"/>
  <c r="D43" i="2" s="1"/>
  <c r="P51" i="3"/>
  <c r="P38" i="3"/>
  <c r="P49" i="3" s="1"/>
  <c r="R29" i="3"/>
  <c r="R35" i="3" s="1"/>
  <c r="R28" i="3"/>
  <c r="R34" i="3" s="1"/>
  <c r="R27" i="3"/>
  <c r="Q30" i="3"/>
  <c r="Q33" i="3"/>
  <c r="Q36" i="3" s="1"/>
  <c r="O61" i="3"/>
  <c r="K65" i="1"/>
  <c r="F42" i="2"/>
  <c r="G42" i="2" s="1"/>
  <c r="E42" i="2"/>
  <c r="J95" i="3"/>
  <c r="K88" i="3"/>
  <c r="K83" i="3"/>
  <c r="K85" i="3" s="1"/>
  <c r="L81" i="3" s="1"/>
  <c r="P53" i="3" l="1"/>
  <c r="L88" i="3"/>
  <c r="L83" i="3"/>
  <c r="L85" i="3" s="1"/>
  <c r="M81" i="3" s="1"/>
  <c r="J96" i="3"/>
  <c r="K91" i="3" s="1"/>
  <c r="J107" i="3"/>
  <c r="N139" i="3"/>
  <c r="O130" i="3"/>
  <c r="O62" i="3"/>
  <c r="K66" i="1"/>
  <c r="L19" i="1" a="1"/>
  <c r="L19" i="1" s="1"/>
  <c r="D44" i="2" a="1"/>
  <c r="D44" i="2" s="1"/>
  <c r="Q51" i="3"/>
  <c r="Q38" i="3"/>
  <c r="Q49" i="3" s="1"/>
  <c r="R30" i="3"/>
  <c r="R33" i="3"/>
  <c r="R36" i="3" s="1"/>
  <c r="P61" i="3"/>
  <c r="L65" i="1"/>
  <c r="F43" i="2"/>
  <c r="G43" i="2" s="1"/>
  <c r="E43" i="2"/>
  <c r="Q53" i="3" l="1"/>
  <c r="O139" i="3"/>
  <c r="P130" i="3"/>
  <c r="P62" i="3"/>
  <c r="L66" i="1"/>
  <c r="D45" i="2" a="1"/>
  <c r="D45" i="2" s="1"/>
  <c r="R51" i="3"/>
  <c r="R38" i="3"/>
  <c r="R49" i="3" s="1"/>
  <c r="R53" i="3" s="1"/>
  <c r="Q61" i="3"/>
  <c r="M65" i="1"/>
  <c r="F44" i="2"/>
  <c r="G44" i="2" s="1"/>
  <c r="E44" i="2"/>
  <c r="M8" i="2"/>
  <c r="L21" i="1"/>
  <c r="J108" i="3"/>
  <c r="K103" i="3" s="1"/>
  <c r="J113" i="3"/>
  <c r="J114" i="3" s="1"/>
  <c r="K134" i="3"/>
  <c r="K99" i="3"/>
  <c r="K93" i="3" s="1"/>
  <c r="M88" i="3"/>
  <c r="M83" i="3"/>
  <c r="M85" i="3" s="1"/>
  <c r="N81" i="3" s="1"/>
  <c r="N88" i="3" l="1"/>
  <c r="N83" i="3"/>
  <c r="N84" i="3"/>
  <c r="K95" i="3"/>
  <c r="K107" i="3" s="1"/>
  <c r="K108" i="3" s="1"/>
  <c r="L103" i="3" s="1"/>
  <c r="I26" i="5"/>
  <c r="K135" i="3"/>
  <c r="K136" i="3" s="1"/>
  <c r="K111" i="3"/>
  <c r="K131" i="3" s="1"/>
  <c r="K132" i="3" s="1"/>
  <c r="L22" i="1"/>
  <c r="N65" i="3"/>
  <c r="M10" i="2"/>
  <c r="L10" i="2" s="1"/>
  <c r="L8" i="2"/>
  <c r="P139" i="3"/>
  <c r="Q130" i="3"/>
  <c r="Q62" i="3"/>
  <c r="M66" i="1"/>
  <c r="D46" i="2" a="1"/>
  <c r="D46" i="2" s="1"/>
  <c r="R61" i="3"/>
  <c r="N65" i="1"/>
  <c r="F45" i="2"/>
  <c r="G45" i="2" s="1"/>
  <c r="E45" i="2"/>
  <c r="Q139" i="3" l="1"/>
  <c r="R130" i="3"/>
  <c r="R62" i="3"/>
  <c r="N66" i="1"/>
  <c r="D47" i="2" a="1"/>
  <c r="D47" i="2" s="1"/>
  <c r="F46" i="2"/>
  <c r="G46" i="2" s="1"/>
  <c r="E46" i="2"/>
  <c r="M11" i="2"/>
  <c r="L11" i="2" s="1"/>
  <c r="N66" i="3"/>
  <c r="N67" i="3" s="1"/>
  <c r="N69" i="3" s="1"/>
  <c r="L23" i="1"/>
  <c r="M12" i="2" s="1"/>
  <c r="L12" i="2" s="1"/>
  <c r="L135" i="3"/>
  <c r="L111" i="3"/>
  <c r="K140" i="3"/>
  <c r="K141" i="3" s="1"/>
  <c r="K137" i="3"/>
  <c r="I114" i="5"/>
  <c r="I25" i="5"/>
  <c r="K113" i="3"/>
  <c r="K114" i="3" s="1"/>
  <c r="K96" i="3"/>
  <c r="L91" i="3" s="1"/>
  <c r="N85" i="3"/>
  <c r="O81" i="3" s="1"/>
  <c r="O88" i="3" l="1"/>
  <c r="O83" i="3"/>
  <c r="O85" i="3" s="1"/>
  <c r="P81" i="3" s="1"/>
  <c r="L134" i="3"/>
  <c r="L136" i="3" s="1"/>
  <c r="L99" i="3"/>
  <c r="L93" i="3"/>
  <c r="J26" i="5"/>
  <c r="N70" i="3"/>
  <c r="G70" i="3"/>
  <c r="F47" i="2"/>
  <c r="G47" i="2" s="1"/>
  <c r="E47" i="2"/>
  <c r="L131" i="3" l="1"/>
  <c r="L132" i="3" s="1"/>
  <c r="G113" i="3"/>
  <c r="E76" i="3"/>
  <c r="F28" i="2" s="1"/>
  <c r="E75" i="3"/>
  <c r="E28" i="2" s="1"/>
  <c r="E74" i="3"/>
  <c r="D28" i="2" s="1"/>
  <c r="E73" i="3"/>
  <c r="C28" i="2" s="1"/>
  <c r="J114" i="5"/>
  <c r="J25" i="5"/>
  <c r="L95" i="3"/>
  <c r="L140" i="3"/>
  <c r="L141" i="3" s="1"/>
  <c r="L137" i="3"/>
  <c r="P88" i="3"/>
  <c r="P83" i="3"/>
  <c r="P85" i="3" s="1"/>
  <c r="Q81" i="3" s="1"/>
  <c r="Q88" i="3" l="1"/>
  <c r="Q83" i="3"/>
  <c r="Q85" i="3" s="1"/>
  <c r="R81" i="3" s="1"/>
  <c r="L107" i="3"/>
  <c r="L108" i="3" s="1"/>
  <c r="M103" i="3" s="1"/>
  <c r="L113" i="3"/>
  <c r="L114" i="3" s="1"/>
  <c r="L96" i="3"/>
  <c r="M91" i="3" s="1"/>
  <c r="H143" i="3"/>
  <c r="I143" i="3"/>
  <c r="J143" i="3"/>
  <c r="K143" i="3"/>
  <c r="L143" i="3"/>
  <c r="M143" i="3"/>
  <c r="N143" i="3"/>
  <c r="O143" i="3"/>
  <c r="P143" i="3"/>
  <c r="Q143" i="3"/>
  <c r="R143" i="3"/>
  <c r="M134" i="3" l="1"/>
  <c r="M99" i="3"/>
  <c r="M93" i="3"/>
  <c r="K26" i="5"/>
  <c r="M135" i="3"/>
  <c r="M111" i="3"/>
  <c r="R88" i="3"/>
  <c r="R83" i="3"/>
  <c r="R85" i="3" s="1"/>
  <c r="M131" i="3" l="1"/>
  <c r="M132" i="3" s="1"/>
  <c r="K114" i="5"/>
  <c r="K25" i="5"/>
  <c r="M95" i="3"/>
  <c r="M136" i="3"/>
  <c r="M140" i="3" l="1"/>
  <c r="M141" i="3" s="1"/>
  <c r="M137" i="3"/>
  <c r="M107" i="3"/>
  <c r="M108" i="3" s="1"/>
  <c r="N103" i="3" s="1"/>
  <c r="M96" i="3"/>
  <c r="N91" i="3" s="1"/>
  <c r="M113" i="3" l="1"/>
  <c r="N134" i="3"/>
  <c r="N99" i="3"/>
  <c r="N93" i="3"/>
  <c r="N94" i="3" s="1"/>
  <c r="M114" i="3"/>
  <c r="N135" i="3"/>
  <c r="N111" i="3"/>
  <c r="N131" i="3" s="1"/>
  <c r="N132" i="3" s="1"/>
  <c r="N106" i="3"/>
  <c r="L26" i="5" l="1"/>
  <c r="N95" i="3"/>
  <c r="N136" i="3"/>
  <c r="N140" i="3" l="1"/>
  <c r="N141" i="3" s="1"/>
  <c r="N137" i="3"/>
  <c r="N107" i="3"/>
  <c r="N108" i="3" s="1"/>
  <c r="O103" i="3" s="1"/>
  <c r="N113" i="3"/>
  <c r="N96" i="3"/>
  <c r="O91" i="3" s="1"/>
  <c r="L114" i="5"/>
  <c r="L25" i="5"/>
  <c r="O134" i="3" l="1"/>
  <c r="O99" i="3"/>
  <c r="O93" i="3"/>
  <c r="N114" i="3"/>
  <c r="O135" i="3"/>
  <c r="O111" i="3"/>
  <c r="O131" i="3" l="1"/>
  <c r="O132" i="3" s="1"/>
  <c r="M26" i="5"/>
  <c r="O95" i="3"/>
  <c r="O136" i="3"/>
  <c r="O140" i="3" l="1"/>
  <c r="O141" i="3" s="1"/>
  <c r="O137" i="3"/>
  <c r="O107" i="3"/>
  <c r="O108" i="3" s="1"/>
  <c r="P103" i="3" s="1"/>
  <c r="O96" i="3"/>
  <c r="P91" i="3" s="1"/>
  <c r="M114" i="5"/>
  <c r="M25" i="5"/>
  <c r="O113" i="3" l="1"/>
  <c r="O114" i="3" s="1"/>
  <c r="P134" i="3"/>
  <c r="P99" i="3"/>
  <c r="P93" i="3"/>
  <c r="P135" i="3"/>
  <c r="P111" i="3"/>
  <c r="P131" i="3" l="1"/>
  <c r="P132" i="3" s="1"/>
  <c r="N26" i="5"/>
  <c r="P95" i="3"/>
  <c r="P136" i="3"/>
  <c r="P140" i="3" l="1"/>
  <c r="P141" i="3" s="1"/>
  <c r="P137" i="3"/>
  <c r="P107" i="3"/>
  <c r="P108" i="3" s="1"/>
  <c r="Q103" i="3" s="1"/>
  <c r="P96" i="3"/>
  <c r="Q91" i="3" s="1"/>
  <c r="N114" i="5"/>
  <c r="N25" i="5"/>
  <c r="P113" i="3" l="1"/>
  <c r="P114" i="3" s="1"/>
  <c r="Q134" i="3"/>
  <c r="Q99" i="3"/>
  <c r="Q93" i="3"/>
  <c r="Q135" i="3"/>
  <c r="Q111" i="3"/>
  <c r="Q131" i="3" s="1"/>
  <c r="Q132" i="3" s="1"/>
  <c r="O26" i="5" l="1"/>
  <c r="Q95" i="3"/>
  <c r="Q136" i="3"/>
  <c r="Q140" i="3" l="1"/>
  <c r="Q141" i="3" s="1"/>
  <c r="Q137" i="3"/>
  <c r="Q107" i="3"/>
  <c r="Q108" i="3" s="1"/>
  <c r="R103" i="3" s="1"/>
  <c r="Q96" i="3"/>
  <c r="R91" i="3" s="1"/>
  <c r="O114" i="5"/>
  <c r="O25" i="5"/>
  <c r="Q113" i="3" l="1"/>
  <c r="Q114" i="3" s="1"/>
  <c r="R134" i="3"/>
  <c r="R99" i="3"/>
  <c r="R93" i="3"/>
  <c r="R135" i="3"/>
  <c r="R111" i="3"/>
  <c r="R131" i="3" s="1"/>
  <c r="R132" i="3" s="1"/>
  <c r="R108" i="3"/>
  <c r="P26" i="5" l="1"/>
  <c r="R95" i="3"/>
  <c r="R136" i="3"/>
  <c r="R137" i="3" s="1"/>
  <c r="R113" i="3" l="1"/>
  <c r="R96" i="3"/>
  <c r="P114" i="5"/>
  <c r="P25" i="5"/>
  <c r="R114" i="3" l="1"/>
  <c r="G114" i="3"/>
  <c r="E120" i="3" l="1"/>
  <c r="F29" i="2" s="1"/>
  <c r="E119" i="3"/>
  <c r="E29" i="2" s="1"/>
  <c r="E118" i="3"/>
  <c r="D29" i="2" s="1"/>
  <c r="E117" i="3"/>
  <c r="R144" i="3" s="1"/>
  <c r="Q26" i="5"/>
  <c r="Q114" i="5" l="1"/>
  <c r="Q25" i="5"/>
  <c r="C29" i="2"/>
  <c r="D22" i="2"/>
  <c r="J5" i="1"/>
  <c r="H144" i="3"/>
  <c r="I144" i="3"/>
  <c r="J144" i="3"/>
  <c r="K144" i="3"/>
  <c r="L144" i="3"/>
  <c r="M144" i="3"/>
  <c r="N144" i="3"/>
  <c r="O144" i="3"/>
  <c r="P144" i="3"/>
  <c r="Q144" i="3"/>
  <c r="R57" i="1"/>
  <c r="R20" i="1"/>
  <c r="R8" i="1"/>
  <c r="R68" i="1" l="1"/>
  <c r="R31" i="1"/>
  <c r="F23" i="5"/>
  <c r="C31" i="2"/>
  <c r="J6" i="1"/>
  <c r="D23" i="2"/>
  <c r="F23" i="2" l="1"/>
  <c r="D16" i="2"/>
  <c r="F22" i="5"/>
  <c r="C30" i="2"/>
  <c r="J7" i="1"/>
  <c r="F128" i="5"/>
  <c r="F46" i="5"/>
  <c r="E46" i="5" s="1"/>
  <c r="E23" i="5"/>
  <c r="C128" i="5" l="1"/>
  <c r="F41" i="5"/>
  <c r="F24" i="5"/>
  <c r="E22" i="5"/>
  <c r="F16" i="2"/>
  <c r="F22" i="2" s="1"/>
  <c r="D17" i="2"/>
  <c r="F17" i="2" l="1"/>
  <c r="F26" i="1" s="1"/>
  <c r="E17" i="2"/>
  <c r="E8" i="2"/>
  <c r="E20" i="2"/>
  <c r="E21" i="2" s="1"/>
  <c r="E9" i="2"/>
  <c r="E10" i="2" s="1"/>
  <c r="E11" i="2" s="1"/>
  <c r="E12" i="2" s="1"/>
  <c r="E13" i="2" s="1"/>
  <c r="E23" i="2"/>
  <c r="F26" i="5"/>
  <c r="F43" i="5" s="1"/>
  <c r="E24" i="5"/>
  <c r="F84" i="5"/>
  <c r="F63" i="5"/>
  <c r="D41" i="5"/>
  <c r="E16" i="2" l="1"/>
  <c r="E22" i="2"/>
  <c r="E14" i="2"/>
  <c r="E15" i="2" s="1"/>
  <c r="F86" i="5"/>
  <c r="F65" i="5"/>
  <c r="F50" i="5"/>
  <c r="F49" i="5"/>
  <c r="F48" i="5"/>
  <c r="F44" i="5"/>
  <c r="G40" i="5" s="1"/>
  <c r="D63" i="5"/>
  <c r="D84" i="5"/>
  <c r="F114" i="5"/>
  <c r="C29" i="5"/>
  <c r="C4" i="5" s="1"/>
  <c r="E26" i="5"/>
  <c r="C30" i="5" s="1"/>
  <c r="C5" i="5" s="1"/>
  <c r="F25" i="5"/>
  <c r="E25" i="5" s="1"/>
  <c r="C116" i="5" l="1"/>
  <c r="C115" i="5"/>
  <c r="C114" i="5"/>
  <c r="C5" i="1" s="1"/>
  <c r="G42" i="5"/>
  <c r="F52" i="5"/>
  <c r="F66" i="5" s="1"/>
  <c r="F87" i="5" l="1"/>
  <c r="F71" i="5"/>
  <c r="F70" i="5"/>
  <c r="F69" i="5"/>
  <c r="F73" i="5" s="1"/>
  <c r="F67" i="5"/>
  <c r="G62" i="5" s="1"/>
  <c r="G43" i="5"/>
  <c r="C117" i="5"/>
  <c r="C6" i="1" s="1"/>
  <c r="G86" i="5" l="1"/>
  <c r="G65" i="5"/>
  <c r="G50" i="5"/>
  <c r="G49" i="5"/>
  <c r="G48" i="5"/>
  <c r="G44" i="5"/>
  <c r="H40" i="5" s="1"/>
  <c r="G64" i="5"/>
  <c r="F88" i="5"/>
  <c r="F93" i="5" l="1"/>
  <c r="F92" i="5"/>
  <c r="F91" i="5"/>
  <c r="F89" i="5"/>
  <c r="G83" i="5" s="1"/>
  <c r="H42" i="5"/>
  <c r="G52" i="5"/>
  <c r="G66" i="5" l="1"/>
  <c r="H43" i="5"/>
  <c r="G85" i="5"/>
  <c r="F95" i="5"/>
  <c r="F107" i="5" l="1"/>
  <c r="F106" i="5"/>
  <c r="F105" i="5"/>
  <c r="H86" i="5"/>
  <c r="H65" i="5"/>
  <c r="H50" i="5"/>
  <c r="H49" i="5"/>
  <c r="H48" i="5"/>
  <c r="H44" i="5"/>
  <c r="I40" i="5" s="1"/>
  <c r="G87" i="5"/>
  <c r="G71" i="5"/>
  <c r="G70" i="5"/>
  <c r="G69" i="5"/>
  <c r="G67" i="5"/>
  <c r="H62" i="5" s="1"/>
  <c r="H64" i="5" l="1"/>
  <c r="G73" i="5"/>
  <c r="G88" i="5" s="1"/>
  <c r="I42" i="5"/>
  <c r="H52" i="5"/>
  <c r="F121" i="5"/>
  <c r="F129" i="5"/>
  <c r="F140" i="5"/>
  <c r="F132" i="5" l="1"/>
  <c r="I43" i="5"/>
  <c r="G93" i="5"/>
  <c r="G92" i="5"/>
  <c r="G91" i="5"/>
  <c r="G89" i="5"/>
  <c r="H83" i="5" s="1"/>
  <c r="H66" i="5"/>
  <c r="G95" i="5" l="1"/>
  <c r="H87" i="5"/>
  <c r="H71" i="5"/>
  <c r="H70" i="5"/>
  <c r="H69" i="5"/>
  <c r="H67" i="5"/>
  <c r="I62" i="5" s="1"/>
  <c r="G107" i="5"/>
  <c r="G106" i="5"/>
  <c r="G105" i="5"/>
  <c r="H85" i="5"/>
  <c r="I86" i="5"/>
  <c r="I65" i="5"/>
  <c r="I50" i="5"/>
  <c r="I49" i="5"/>
  <c r="I48" i="5"/>
  <c r="I44" i="5"/>
  <c r="J40" i="5" s="1"/>
  <c r="F146" i="5"/>
  <c r="J42" i="5" l="1"/>
  <c r="I52" i="5"/>
  <c r="G121" i="5"/>
  <c r="G129" i="5"/>
  <c r="G140" i="5"/>
  <c r="I64" i="5"/>
  <c r="H73" i="5"/>
  <c r="H88" i="5" l="1"/>
  <c r="I66" i="5"/>
  <c r="G132" i="5"/>
  <c r="J43" i="5"/>
  <c r="J86" i="5" l="1"/>
  <c r="J65" i="5"/>
  <c r="J50" i="5"/>
  <c r="J49" i="5"/>
  <c r="J48" i="5"/>
  <c r="J44" i="5"/>
  <c r="K40" i="5" s="1"/>
  <c r="G146" i="5"/>
  <c r="I87" i="5"/>
  <c r="I71" i="5"/>
  <c r="I70" i="5"/>
  <c r="I69" i="5"/>
  <c r="I67" i="5"/>
  <c r="J62" i="5" s="1"/>
  <c r="H93" i="5"/>
  <c r="H92" i="5"/>
  <c r="H91" i="5"/>
  <c r="H89" i="5"/>
  <c r="I83" i="5" s="1"/>
  <c r="I85" i="5" l="1"/>
  <c r="H95" i="5"/>
  <c r="J64" i="5"/>
  <c r="I73" i="5"/>
  <c r="K42" i="5"/>
  <c r="J52" i="5"/>
  <c r="K43" i="5" l="1"/>
  <c r="J66" i="5"/>
  <c r="H107" i="5"/>
  <c r="H106" i="5"/>
  <c r="H105" i="5"/>
  <c r="I88" i="5"/>
  <c r="I93" i="5" l="1"/>
  <c r="I92" i="5"/>
  <c r="I91" i="5"/>
  <c r="I89" i="5"/>
  <c r="J83" i="5" s="1"/>
  <c r="H121" i="5"/>
  <c r="H129" i="5"/>
  <c r="H140" i="5"/>
  <c r="J87" i="5"/>
  <c r="J71" i="5"/>
  <c r="J70" i="5"/>
  <c r="J69" i="5"/>
  <c r="J67" i="5"/>
  <c r="K62" i="5" s="1"/>
  <c r="K86" i="5"/>
  <c r="K65" i="5"/>
  <c r="K50" i="5"/>
  <c r="K49" i="5"/>
  <c r="K48" i="5"/>
  <c r="K44" i="5"/>
  <c r="L40" i="5" s="1"/>
  <c r="L42" i="5" l="1"/>
  <c r="K52" i="5"/>
  <c r="K64" i="5"/>
  <c r="J73" i="5"/>
  <c r="H132" i="5"/>
  <c r="J85" i="5"/>
  <c r="I95" i="5"/>
  <c r="I107" i="5" l="1"/>
  <c r="I106" i="5"/>
  <c r="I105" i="5"/>
  <c r="J88" i="5"/>
  <c r="H146" i="5"/>
  <c r="K66" i="5"/>
  <c r="L43" i="5"/>
  <c r="L86" i="5" l="1"/>
  <c r="L65" i="5"/>
  <c r="L50" i="5"/>
  <c r="L49" i="5"/>
  <c r="L48" i="5"/>
  <c r="L44" i="5"/>
  <c r="M40" i="5" s="1"/>
  <c r="K87" i="5"/>
  <c r="K71" i="5"/>
  <c r="K70" i="5"/>
  <c r="K69" i="5"/>
  <c r="K67" i="5"/>
  <c r="L62" i="5" s="1"/>
  <c r="J93" i="5"/>
  <c r="J92" i="5"/>
  <c r="J91" i="5"/>
  <c r="J89" i="5"/>
  <c r="K83" i="5" s="1"/>
  <c r="I121" i="5"/>
  <c r="I129" i="5"/>
  <c r="I140" i="5"/>
  <c r="I132" i="5" l="1"/>
  <c r="K85" i="5"/>
  <c r="J95" i="5"/>
  <c r="L64" i="5"/>
  <c r="K73" i="5"/>
  <c r="M42" i="5"/>
  <c r="L52" i="5"/>
  <c r="M43" i="5" l="1"/>
  <c r="L66" i="5"/>
  <c r="J107" i="5"/>
  <c r="J106" i="5"/>
  <c r="J105" i="5"/>
  <c r="K88" i="5"/>
  <c r="I146" i="5"/>
  <c r="K93" i="5" l="1"/>
  <c r="K92" i="5"/>
  <c r="K91" i="5"/>
  <c r="K89" i="5"/>
  <c r="L83" i="5" s="1"/>
  <c r="J121" i="5"/>
  <c r="J129" i="5"/>
  <c r="J140" i="5"/>
  <c r="L87" i="5"/>
  <c r="L71" i="5"/>
  <c r="L70" i="5"/>
  <c r="L69" i="5"/>
  <c r="L67" i="5"/>
  <c r="M62" i="5" s="1"/>
  <c r="M86" i="5"/>
  <c r="M65" i="5"/>
  <c r="M50" i="5"/>
  <c r="M49" i="5"/>
  <c r="M48" i="5"/>
  <c r="M44" i="5"/>
  <c r="N40" i="5" s="1"/>
  <c r="N42" i="5" l="1"/>
  <c r="M52" i="5"/>
  <c r="M64" i="5"/>
  <c r="L73" i="5"/>
  <c r="J132" i="5"/>
  <c r="L85" i="5"/>
  <c r="K95" i="5"/>
  <c r="K107" i="5" l="1"/>
  <c r="K106" i="5"/>
  <c r="K105" i="5"/>
  <c r="L88" i="5"/>
  <c r="J146" i="5"/>
  <c r="M66" i="5"/>
  <c r="N43" i="5"/>
  <c r="N86" i="5" l="1"/>
  <c r="N65" i="5"/>
  <c r="N50" i="5"/>
  <c r="N49" i="5"/>
  <c r="N48" i="5"/>
  <c r="N44" i="5"/>
  <c r="O40" i="5" s="1"/>
  <c r="M87" i="5"/>
  <c r="M71" i="5"/>
  <c r="M70" i="5"/>
  <c r="M69" i="5"/>
  <c r="M67" i="5"/>
  <c r="N62" i="5" s="1"/>
  <c r="L93" i="5"/>
  <c r="L92" i="5"/>
  <c r="L91" i="5"/>
  <c r="L89" i="5"/>
  <c r="M83" i="5" s="1"/>
  <c r="K121" i="5"/>
  <c r="K129" i="5"/>
  <c r="K140" i="5"/>
  <c r="K132" i="5" l="1"/>
  <c r="M85" i="5"/>
  <c r="L95" i="5"/>
  <c r="N64" i="5"/>
  <c r="M73" i="5"/>
  <c r="O42" i="5"/>
  <c r="N52" i="5"/>
  <c r="O43" i="5" l="1"/>
  <c r="N66" i="5"/>
  <c r="L107" i="5"/>
  <c r="L106" i="5"/>
  <c r="L105" i="5"/>
  <c r="M88" i="5"/>
  <c r="K146" i="5"/>
  <c r="M93" i="5" l="1"/>
  <c r="M92" i="5"/>
  <c r="M91" i="5"/>
  <c r="M89" i="5"/>
  <c r="N83" i="5" s="1"/>
  <c r="L121" i="5"/>
  <c r="L129" i="5"/>
  <c r="L140" i="5"/>
  <c r="N87" i="5"/>
  <c r="N71" i="5"/>
  <c r="N70" i="5"/>
  <c r="N69" i="5"/>
  <c r="N67" i="5"/>
  <c r="O62" i="5" s="1"/>
  <c r="O86" i="5"/>
  <c r="O65" i="5"/>
  <c r="O50" i="5"/>
  <c r="O49" i="5"/>
  <c r="O48" i="5"/>
  <c r="O44" i="5"/>
  <c r="P40" i="5" s="1"/>
  <c r="P42" i="5" l="1"/>
  <c r="O52" i="5"/>
  <c r="O64" i="5"/>
  <c r="N73" i="5"/>
  <c r="L132" i="5"/>
  <c r="N85" i="5"/>
  <c r="M95" i="5"/>
  <c r="M107" i="5" l="1"/>
  <c r="M106" i="5"/>
  <c r="M105" i="5"/>
  <c r="N88" i="5"/>
  <c r="L146" i="5"/>
  <c r="O66" i="5"/>
  <c r="P43" i="5"/>
  <c r="P86" i="5" l="1"/>
  <c r="P65" i="5"/>
  <c r="P50" i="5"/>
  <c r="P49" i="5"/>
  <c r="P48" i="5"/>
  <c r="P44" i="5"/>
  <c r="Q40" i="5" s="1"/>
  <c r="O87" i="5"/>
  <c r="O71" i="5"/>
  <c r="O70" i="5"/>
  <c r="O69" i="5"/>
  <c r="O67" i="5"/>
  <c r="P62" i="5" s="1"/>
  <c r="N93" i="5"/>
  <c r="N92" i="5"/>
  <c r="N91" i="5"/>
  <c r="N89" i="5"/>
  <c r="O83" i="5" s="1"/>
  <c r="M121" i="5"/>
  <c r="M129" i="5"/>
  <c r="M140" i="5"/>
  <c r="M132" i="5" l="1"/>
  <c r="O85" i="5"/>
  <c r="N95" i="5"/>
  <c r="P64" i="5"/>
  <c r="O73" i="5"/>
  <c r="Q42" i="5"/>
  <c r="P52" i="5"/>
  <c r="D42" i="5" l="1"/>
  <c r="Q43" i="5"/>
  <c r="P66" i="5"/>
  <c r="N107" i="5"/>
  <c r="N106" i="5"/>
  <c r="N105" i="5"/>
  <c r="O88" i="5"/>
  <c r="M146" i="5"/>
  <c r="O93" i="5" l="1"/>
  <c r="O92" i="5"/>
  <c r="O91" i="5"/>
  <c r="O89" i="5"/>
  <c r="P83" i="5" s="1"/>
  <c r="N121" i="5"/>
  <c r="N129" i="5"/>
  <c r="N140" i="5"/>
  <c r="P87" i="5"/>
  <c r="P71" i="5"/>
  <c r="P70" i="5"/>
  <c r="P69" i="5"/>
  <c r="P67" i="5"/>
  <c r="Q62" i="5" s="1"/>
  <c r="Q86" i="5"/>
  <c r="D86" i="5" s="1"/>
  <c r="Q65" i="5"/>
  <c r="D65" i="5" s="1"/>
  <c r="Q50" i="5"/>
  <c r="E50" i="5" s="1"/>
  <c r="Q49" i="5"/>
  <c r="E49" i="5" s="1"/>
  <c r="Q48" i="5"/>
  <c r="D43" i="5"/>
  <c r="D44" i="5" s="1"/>
  <c r="Q44" i="5"/>
  <c r="Q52" i="5" l="1"/>
  <c r="E48" i="5"/>
  <c r="Q64" i="5"/>
  <c r="P73" i="5"/>
  <c r="N132" i="5"/>
  <c r="P85" i="5"/>
  <c r="O95" i="5"/>
  <c r="O107" i="5" l="1"/>
  <c r="O106" i="5"/>
  <c r="O105" i="5"/>
  <c r="P88" i="5"/>
  <c r="N146" i="5"/>
  <c r="D64" i="5"/>
  <c r="Q66" i="5"/>
  <c r="E52" i="5"/>
  <c r="Q87" i="5" l="1"/>
  <c r="D87" i="5" s="1"/>
  <c r="Q71" i="5"/>
  <c r="E71" i="5" s="1"/>
  <c r="Q70" i="5"/>
  <c r="E70" i="5" s="1"/>
  <c r="Q69" i="5"/>
  <c r="D66" i="5"/>
  <c r="D67" i="5" s="1"/>
  <c r="Q67" i="5"/>
  <c r="P93" i="5"/>
  <c r="P92" i="5"/>
  <c r="P91" i="5"/>
  <c r="P89" i="5"/>
  <c r="Q83" i="5" s="1"/>
  <c r="O121" i="5"/>
  <c r="O129" i="5"/>
  <c r="O140" i="5"/>
  <c r="O132" i="5" l="1"/>
  <c r="Q85" i="5"/>
  <c r="P95" i="5"/>
  <c r="E69" i="5"/>
  <c r="Q73" i="5"/>
  <c r="E73" i="5" l="1"/>
  <c r="P107" i="5"/>
  <c r="P106" i="5"/>
  <c r="P105" i="5"/>
  <c r="D85" i="5"/>
  <c r="Q88" i="5"/>
  <c r="O146" i="5"/>
  <c r="Q93" i="5" l="1"/>
  <c r="E93" i="5" s="1"/>
  <c r="Q92" i="5"/>
  <c r="E92" i="5" s="1"/>
  <c r="Q91" i="5"/>
  <c r="D88" i="5"/>
  <c r="D89" i="5" s="1"/>
  <c r="Q89" i="5"/>
  <c r="P121" i="5"/>
  <c r="P129" i="5"/>
  <c r="P140" i="5"/>
  <c r="P132" i="5" l="1"/>
  <c r="E91" i="5"/>
  <c r="Q95" i="5"/>
  <c r="Q107" i="5" l="1"/>
  <c r="Q106" i="5"/>
  <c r="Q105" i="5"/>
  <c r="E95" i="5"/>
  <c r="P146" i="5"/>
  <c r="Q121" i="5" l="1"/>
  <c r="E105" i="5"/>
  <c r="Q129" i="5"/>
  <c r="E106" i="5"/>
  <c r="Q140" i="5"/>
  <c r="C140" i="5" s="1"/>
  <c r="E107" i="5"/>
  <c r="E32" i="2" l="1"/>
  <c r="F7" i="1"/>
  <c r="Q132" i="5"/>
  <c r="C129" i="5"/>
  <c r="C130" i="5" s="1"/>
  <c r="C133" i="5" s="1"/>
  <c r="C123" i="5"/>
  <c r="C122" i="5"/>
  <c r="C121" i="5"/>
  <c r="D4" i="5" l="1"/>
  <c r="D30" i="2"/>
  <c r="F5" i="1"/>
  <c r="E30" i="2"/>
  <c r="C152" i="5"/>
  <c r="C124" i="5"/>
  <c r="Q146" i="5"/>
  <c r="C134" i="5"/>
  <c r="C135" i="5" s="1"/>
  <c r="C132" i="5"/>
  <c r="C148" i="5" l="1"/>
  <c r="C147" i="5"/>
  <c r="E31" i="2" s="1"/>
  <c r="C146" i="5"/>
  <c r="D31" i="2" s="1"/>
  <c r="D5" i="5"/>
  <c r="F30" i="2"/>
  <c r="F6" i="1"/>
  <c r="C149" i="5" l="1"/>
  <c r="F31" i="2" s="1"/>
</calcChain>
</file>

<file path=xl/sharedStrings.xml><?xml version="1.0" encoding="utf-8"?>
<sst xmlns="http://schemas.openxmlformats.org/spreadsheetml/2006/main" count="579" uniqueCount="393">
  <si>
    <t>Hotel Value Add</t>
  </si>
  <si>
    <t>Inputs</t>
  </si>
  <si>
    <t>Return Summary</t>
  </si>
  <si>
    <t>Equity Splits + Waterfall</t>
  </si>
  <si>
    <t>Levered Project Level IRR, Profit (in $M), EM</t>
  </si>
  <si>
    <t>Project Level IRR</t>
  </si>
  <si>
    <t>Net LP IRR</t>
  </si>
  <si>
    <t>GP</t>
  </si>
  <si>
    <t>Project Level EM</t>
  </si>
  <si>
    <t>Net LP EM</t>
  </si>
  <si>
    <t>LP</t>
  </si>
  <si>
    <t>Entry</t>
  </si>
  <si>
    <t xml:space="preserve">Entry </t>
  </si>
  <si>
    <t>Exit Cap</t>
  </si>
  <si>
    <t>PP</t>
  </si>
  <si>
    <t>Sponsor Promote</t>
  </si>
  <si>
    <t>Cap Rate</t>
  </si>
  <si>
    <t>Purchase Price</t>
  </si>
  <si>
    <t>Exit Cap Rate</t>
  </si>
  <si>
    <t>Step</t>
  </si>
  <si>
    <t>Preferred Return Hurdle (IRR)</t>
  </si>
  <si>
    <t>Sponsor</t>
  </si>
  <si>
    <t>Equity</t>
  </si>
  <si>
    <t>24.2% | $34.0 | 3.0x</t>
  </si>
  <si>
    <t>22.6% | $29.7 | 2.8x</t>
  </si>
  <si>
    <t>21.1% | $25.9 | 2.6x</t>
  </si>
  <si>
    <t>19.6% | $22.7 | 2.4x</t>
  </si>
  <si>
    <t>18.2% | $19.7 | 2.2x</t>
  </si>
  <si>
    <t>Promote</t>
  </si>
  <si>
    <t>Investors</t>
  </si>
  <si>
    <t>22.2% | $32.2 | 2.9x</t>
  </si>
  <si>
    <t>20.6% | $27.9 | 2.6x</t>
  </si>
  <si>
    <t>19.1% | $24.2 | 2.4x</t>
  </si>
  <si>
    <t>17.5% | $20.9 | 2.2x</t>
  </si>
  <si>
    <t>16.1% | $17.9 | 2.0x</t>
  </si>
  <si>
    <t>20.4% | $30.4 | 2.7x</t>
  </si>
  <si>
    <t>18.8% | $26.1 | 2.5x</t>
  </si>
  <si>
    <t>17.2% | $22.4 | 2.3x</t>
  </si>
  <si>
    <t>15.6% | $19.1 | 2.1x</t>
  </si>
  <si>
    <t>14.0% | $16.1 | 1.9x</t>
  </si>
  <si>
    <t>18.7% | $28.6 | 2.6x</t>
  </si>
  <si>
    <t>17.0% | $24.3 | 2.3x</t>
  </si>
  <si>
    <t>15.4% | $20.6 | 2.1x</t>
  </si>
  <si>
    <t>13.7% | $17.3 | 1.9x</t>
  </si>
  <si>
    <t>12.1% | $14.3 | 1.8x</t>
  </si>
  <si>
    <t>17.1% | $26.8 | 2.4x</t>
  </si>
  <si>
    <t>15.4% | $22.5 | 2.2x</t>
  </si>
  <si>
    <t>13.7% | $18.8 | 2.0x</t>
  </si>
  <si>
    <t>12.0% | $15.5 | 1.8x</t>
  </si>
  <si>
    <t>10.3% | $12.5 | 1.7x</t>
  </si>
  <si>
    <t>Acquisition Assumptions</t>
  </si>
  <si>
    <t>Acquisition Date</t>
  </si>
  <si>
    <t>Exit Assumptions</t>
  </si>
  <si>
    <t>Levered Project Level IRR, Profit (in $M), EM, Exit Year NOI Margin</t>
  </si>
  <si>
    <t>(entry cap rate)</t>
  </si>
  <si>
    <t>Occ.</t>
  </si>
  <si>
    <t>ADR Growth</t>
  </si>
  <si>
    <t>Acquisition Costs</t>
  </si>
  <si>
    <t>Exit Year</t>
  </si>
  <si>
    <t>Exit Year Revenue</t>
  </si>
  <si>
    <t>Interest Reserve</t>
  </si>
  <si>
    <t>Exit NOI (Forward)</t>
  </si>
  <si>
    <t>Rate per Year</t>
  </si>
  <si>
    <t>Stabilized Occupancy</t>
  </si>
  <si>
    <t>Exit Year NOI</t>
  </si>
  <si>
    <t>Tax Reserve</t>
  </si>
  <si>
    <t>Exit Year NOI Margin</t>
  </si>
  <si>
    <t>DD / Legal</t>
  </si>
  <si>
    <t>Exit Value</t>
  </si>
  <si>
    <t>-0.4% | -$0.4 | 1.0x | 29%</t>
  </si>
  <si>
    <t>6.6% | $7.5 | 1.4x | 31%</t>
  </si>
  <si>
    <t>12.4% | $14.8 | 1.8x | 33%</t>
  </si>
  <si>
    <t>17.9% | $22.1 | 2.2x | 35%</t>
  </si>
  <si>
    <t>23.1% | $29.4 | 2.7x | 36%</t>
  </si>
  <si>
    <t>CapEx/Renovation</t>
  </si>
  <si>
    <t>Disposition Costs</t>
  </si>
  <si>
    <t>4.1% | $4.9 | 1.3x | 30%</t>
  </si>
  <si>
    <t>10.2% | $12.7 | 1.7x | 33%</t>
  </si>
  <si>
    <t>15.7% | $20.3 | 2.1x | 34%</t>
  </si>
  <si>
    <t>21.0% | $28.0 | 2.6x | 36%</t>
  </si>
  <si>
    <t>25.9% | $35.6 | 3.0x | 38%</t>
  </si>
  <si>
    <t xml:space="preserve">Other </t>
  </si>
  <si>
    <t>Net Sale Proceeds</t>
  </si>
  <si>
    <t>7.7% | $10.1 | 1.6x | 32%</t>
  </si>
  <si>
    <t>13.4% | $18.1 | 2.0x | 34%</t>
  </si>
  <si>
    <t>18.8% | $26.1 | 2.5x | 36%</t>
  </si>
  <si>
    <t>23.8% | $34.1 | 2.9x | 37%</t>
  </si>
  <si>
    <t>28.6% | $42.1 | 3.4x | 39%</t>
  </si>
  <si>
    <t>Total</t>
  </si>
  <si>
    <t>11.0% | $15.4 | 1.9x | 33%</t>
  </si>
  <si>
    <t>16.4% | $23.8 | 2.3x | 35%</t>
  </si>
  <si>
    <t>21.6% | $32.1 | 2.8x | 37%</t>
  </si>
  <si>
    <t>26.5% | $40.5 | 3.3x | 39%</t>
  </si>
  <si>
    <t>31.2% | $48.9 | 3.8x | 40%</t>
  </si>
  <si>
    <t>Keys</t>
  </si>
  <si>
    <t>Refinancing Assumptions</t>
  </si>
  <si>
    <t>13.9% | $20.9 | 2.2x | 35%</t>
  </si>
  <si>
    <t>19.2% | $29.7 | 2.7x | 37%</t>
  </si>
  <si>
    <t>24.3% | $38.5 | 3.2x | 38%</t>
  </si>
  <si>
    <t>29.0% | $47.2 | 3.7x | 40%</t>
  </si>
  <si>
    <t>33.6% | $56.0 | 4.2x | 41%</t>
  </si>
  <si>
    <t>All-In Basis Per Key</t>
  </si>
  <si>
    <t>Purchase Price per Key</t>
  </si>
  <si>
    <t>Senior Loan (Refinance)</t>
  </si>
  <si>
    <t>Mezzanine Per Key</t>
  </si>
  <si>
    <t>Assume Refinance?</t>
  </si>
  <si>
    <t>Yes</t>
  </si>
  <si>
    <t>Senior Loan Per Key</t>
  </si>
  <si>
    <t>Repay Mezzanine?</t>
  </si>
  <si>
    <t>Exit</t>
  </si>
  <si>
    <t>Refinance Year</t>
  </si>
  <si>
    <t>Year</t>
  </si>
  <si>
    <t>Initial Financing Assumptions</t>
  </si>
  <si>
    <t>Refinance Year Forward NOI</t>
  </si>
  <si>
    <t>Senior Loan</t>
  </si>
  <si>
    <t>Refinance Year Valuation Cap Rate</t>
  </si>
  <si>
    <t>20.8% | $25.8 | 2.5x</t>
  </si>
  <si>
    <t>18.7% | $21.7 | 2.2x</t>
  </si>
  <si>
    <t>16.6% | $18.0 | 2.0x</t>
  </si>
  <si>
    <t>14.6% | $14.9 | 1.8x</t>
  </si>
  <si>
    <t>12.6% | $12.0 | 1.7x</t>
  </si>
  <si>
    <t>Leverage on Purchase Price</t>
  </si>
  <si>
    <t xml:space="preserve">Refinance Year Valuation </t>
  </si>
  <si>
    <t>Interest Rate</t>
  </si>
  <si>
    <t>20.1% | $35.2 | 3.0x</t>
  </si>
  <si>
    <t>18.8% | $30.8 | 2.7x</t>
  </si>
  <si>
    <t>17.5% | $26.9 | 2.5x</t>
  </si>
  <si>
    <t>16.2% | $23.5 | 2.3x</t>
  </si>
  <si>
    <t>15.0% | $20.5 | 2.2x</t>
  </si>
  <si>
    <t xml:space="preserve">Loan Amount </t>
  </si>
  <si>
    <t>19.8% | $40.4 | 3.3x</t>
  </si>
  <si>
    <t>18.7% | $35.8 | 3.0x</t>
  </si>
  <si>
    <t>17.6% | $31.8 | 2.8x</t>
  </si>
  <si>
    <t>16.6% | $28.2 | 2.6x</t>
  </si>
  <si>
    <t>15.6% | $25.1 | 2.4x</t>
  </si>
  <si>
    <t>Financing Fees</t>
  </si>
  <si>
    <t>Leverage on Value</t>
  </si>
  <si>
    <t>19.5% | $45.8 | 3.6x</t>
  </si>
  <si>
    <t>18.6% | $41.0 | 3.3x</t>
  </si>
  <si>
    <t>17.7% | $36.9 | 3.1x</t>
  </si>
  <si>
    <t>16.9% | $33.2 | 2.9x</t>
  </si>
  <si>
    <t>16.1% | $30.0 | 2.7x</t>
  </si>
  <si>
    <t>Type</t>
  </si>
  <si>
    <t>Amortized</t>
  </si>
  <si>
    <t>Amortization Length (Years)</t>
  </si>
  <si>
    <t>Payment</t>
  </si>
  <si>
    <t>Mezz/Preferred Equity</t>
  </si>
  <si>
    <t>Interest Only</t>
  </si>
  <si>
    <t>Sensitivity Analysis</t>
  </si>
  <si>
    <t>Refi LTV</t>
  </si>
  <si>
    <t>P&amp;L Assumptions</t>
  </si>
  <si>
    <t>Levered Project Level IRR, Profit (in $M), EM, Refinance Loan Amount (in $M)</t>
  </si>
  <si>
    <t>Refinance</t>
  </si>
  <si>
    <t>Loan to Value</t>
  </si>
  <si>
    <t>Refinance Cap Rate</t>
  </si>
  <si>
    <t>Rooms</t>
  </si>
  <si>
    <t>Rooms Annualized</t>
  </si>
  <si>
    <t>18.6% | $26.2 | 2.5x | $36.0</t>
  </si>
  <si>
    <t>17.9% | $26.9 | 2.5x | $33.2</t>
  </si>
  <si>
    <t>17.4% | $27.4 | 2.5x | $30.9</t>
  </si>
  <si>
    <t>17.0% | $27.9 | 2.6x | $28.8</t>
  </si>
  <si>
    <t>16.6% | $28.0 | 2.6x | $27.0</t>
  </si>
  <si>
    <t>Occupancy</t>
  </si>
  <si>
    <t>19.6% | $25.4 | 2.4x | $39.3</t>
  </si>
  <si>
    <t>18.7% | $26.1 | 2.5x | $36.3</t>
  </si>
  <si>
    <t>18.1% | $26.8 | 2.5x | $33.7</t>
  </si>
  <si>
    <t>17.5% | $27.3 | 2.5x | $31.4</t>
  </si>
  <si>
    <t>17.1% | $27.7 | 2.6x | $29.5</t>
  </si>
  <si>
    <t>Occupied Rooms</t>
  </si>
  <si>
    <t>20.6% | $24.7 | 2.4x | $42.6</t>
  </si>
  <si>
    <t>18.8% | $26.1 | 2.5x | $36.5</t>
  </si>
  <si>
    <t>18.1% | $26.7 | 2.5x | $34.1</t>
  </si>
  <si>
    <t>17.6% | $27.2 | 2.5x | $31.9</t>
  </si>
  <si>
    <t>21.7% | $23.9 | 2.3x | $45.8</t>
  </si>
  <si>
    <t>20.5% | $24.7 | 2.4x | $42.3</t>
  </si>
  <si>
    <t>18.8% | $26.1 | 2.5x | $36.7</t>
  </si>
  <si>
    <t>18.2% | $26.6 | 2.5x | $34.4</t>
  </si>
  <si>
    <t>ADR</t>
  </si>
  <si>
    <t>23.0% | $23.1 | 2.3x | $49.1</t>
  </si>
  <si>
    <t>21.5% | $24.0 | 2.4x | $45.3</t>
  </si>
  <si>
    <t>20.4% | $24.8 | 2.4x | $42.1</t>
  </si>
  <si>
    <t>18.9% | $26.0 | 2.5x | $36.8</t>
  </si>
  <si>
    <t>Mezz LTV</t>
  </si>
  <si>
    <t>Initial Senior LTV</t>
  </si>
  <si>
    <t>GOP Margin</t>
  </si>
  <si>
    <t>NOI Margin</t>
  </si>
  <si>
    <t>Initial Senior</t>
  </si>
  <si>
    <t>Mezzanine Loan to Value</t>
  </si>
  <si>
    <t>Food &amp; Beverage (POR)</t>
  </si>
  <si>
    <t>Food &amp; Beverage Growth</t>
  </si>
  <si>
    <t>17.4% | $25.7 | 2.3x</t>
  </si>
  <si>
    <t>17.6% | $24.9 | 2.4x</t>
  </si>
  <si>
    <t>17.9% | $24.0 | 2.6x</t>
  </si>
  <si>
    <t>18.1% | $23.2 | 2.7x</t>
  </si>
  <si>
    <t>18.3% | $22.4 | 2.9x</t>
  </si>
  <si>
    <t>17.8% | $26.1 | 2.3x</t>
  </si>
  <si>
    <t>18.0% | $25.3 | 2.4x</t>
  </si>
  <si>
    <t>18.3% | $24.5 | 2.6x</t>
  </si>
  <si>
    <t>18.6% | $23.6 | 2.7x</t>
  </si>
  <si>
    <t>18.8% | $22.8 | 2.9x</t>
  </si>
  <si>
    <t>Minor Operated Departments  (POR)</t>
  </si>
  <si>
    <t>18.1% | $26.5 | 2.4x</t>
  </si>
  <si>
    <t>18.4% | $25.7 | 2.5x</t>
  </si>
  <si>
    <t>18.7% | $24.9 | 2.6x</t>
  </si>
  <si>
    <t>19.0% | $24.0 | 2.8x</t>
  </si>
  <si>
    <t>19.3% | $23.2 | 3.0x</t>
  </si>
  <si>
    <t>18.5% | $26.9 | 2.4x</t>
  </si>
  <si>
    <t>19.1% | $25.3 | 2.6x</t>
  </si>
  <si>
    <t>19.4% | $24.5 | 2.8x</t>
  </si>
  <si>
    <t>19.8% | $23.6 | 3.0x</t>
  </si>
  <si>
    <t>18.9% | $27.3 | 2.4x</t>
  </si>
  <si>
    <t>19.2% | $26.5 | 2.5x</t>
  </si>
  <si>
    <t>19.5% | $25.7 | 2.6x</t>
  </si>
  <si>
    <t>19.9% | $24.9 | 2.8x</t>
  </si>
  <si>
    <t>20.3% | $24.0 | 3.0x</t>
  </si>
  <si>
    <t>Rooms Expense (% of Sales)</t>
  </si>
  <si>
    <t>Food &amp; Beverage Expense  (% of Sales)</t>
  </si>
  <si>
    <t>Minor Operated Departments Expense  (% of Sales)</t>
  </si>
  <si>
    <t>Administrative and General (PAR)</t>
  </si>
  <si>
    <t>Growth</t>
  </si>
  <si>
    <t>Information and Telephone  (PAR)</t>
  </si>
  <si>
    <t>Marketing  (PAR)</t>
  </si>
  <si>
    <t>Property Operations and Maintenance  (PAR)</t>
  </si>
  <si>
    <t>Utilities  (PAR)</t>
  </si>
  <si>
    <t>Management Fee</t>
  </si>
  <si>
    <t>Property Taxes</t>
  </si>
  <si>
    <t>Insurance</t>
  </si>
  <si>
    <t>Reserve for Replacement</t>
  </si>
  <si>
    <t xml:space="preserve">Levered Sources &amp; Uses </t>
  </si>
  <si>
    <t>Exit Summary</t>
  </si>
  <si>
    <t>% of Total</t>
  </si>
  <si>
    <t>Per Key</t>
  </si>
  <si>
    <t>Uses:</t>
  </si>
  <si>
    <t>$ Amount</t>
  </si>
  <si>
    <t>Exit NOI</t>
  </si>
  <si>
    <t>Selling Costs</t>
  </si>
  <si>
    <t>Net Sales Price</t>
  </si>
  <si>
    <t>Financing</t>
  </si>
  <si>
    <t>Debt Summary</t>
  </si>
  <si>
    <t>Operating Cash Flow Shortfalls</t>
  </si>
  <si>
    <t>Senior Loan (at Acquisition)</t>
  </si>
  <si>
    <t>Total Uses</t>
  </si>
  <si>
    <t>Loan Proceeds</t>
  </si>
  <si>
    <t>Leverage (% of Purchase Price)</t>
  </si>
  <si>
    <t>Sources:</t>
  </si>
  <si>
    <t>Financing Fee</t>
  </si>
  <si>
    <t>Mezzanine Loan / Preferred Equity</t>
  </si>
  <si>
    <t>Amortization Years</t>
  </si>
  <si>
    <t>Total Sources</t>
  </si>
  <si>
    <t>Annual Payment</t>
  </si>
  <si>
    <t>DSCR Year 1</t>
  </si>
  <si>
    <t>DSCR Year 3 (Stabilized)</t>
  </si>
  <si>
    <t>Peak Equity</t>
  </si>
  <si>
    <t>IRR</t>
  </si>
  <si>
    <t>Profit</t>
  </si>
  <si>
    <t>Multiple</t>
  </si>
  <si>
    <t xml:space="preserve">Unlevered Project </t>
  </si>
  <si>
    <t>Levered Project</t>
  </si>
  <si>
    <t>Limited Partner</t>
  </si>
  <si>
    <t>General Partner</t>
  </si>
  <si>
    <t>Sponsor Promote Only</t>
  </si>
  <si>
    <t>n/a</t>
  </si>
  <si>
    <t>NOI Summary</t>
  </si>
  <si>
    <t xml:space="preserve">Unlevered </t>
  </si>
  <si>
    <t>Date</t>
  </si>
  <si>
    <t>Forward NOI</t>
  </si>
  <si>
    <t>NOI Yield</t>
  </si>
  <si>
    <t>∆ to Exit Cap</t>
  </si>
  <si>
    <t>Leverage (% of Value)</t>
  </si>
  <si>
    <t>Annual Cash Flows</t>
  </si>
  <si>
    <t>Number of Rooms</t>
  </si>
  <si>
    <t>Annual Available Rooms</t>
  </si>
  <si>
    <t>Average Daily Rate (ADR)</t>
  </si>
  <si>
    <t>RevPAR</t>
  </si>
  <si>
    <t xml:space="preserve">Budget (Unlevered): </t>
  </si>
  <si>
    <t>Total Budget</t>
  </si>
  <si>
    <t>Revenue</t>
  </si>
  <si>
    <t>Food &amp; Beverage</t>
  </si>
  <si>
    <t>Minor Operated Departments</t>
  </si>
  <si>
    <t>Total Revenue</t>
  </si>
  <si>
    <t>Departmental Expenses</t>
  </si>
  <si>
    <t>Rooms Expense</t>
  </si>
  <si>
    <t>Food &amp; Beverage Expense</t>
  </si>
  <si>
    <t>Minor Operated Departments Expense</t>
  </si>
  <si>
    <t>Total Departmental Expenses</t>
  </si>
  <si>
    <t>Departmental Income (Loss)</t>
  </si>
  <si>
    <t>Undistributed Operating Expenses</t>
  </si>
  <si>
    <t>Administrative and General</t>
  </si>
  <si>
    <t>Information and Telephone</t>
  </si>
  <si>
    <t>Marketing</t>
  </si>
  <si>
    <t>Property Operations and Maintenance</t>
  </si>
  <si>
    <t>Utilities</t>
  </si>
  <si>
    <t>Total Undistributed Expenses</t>
  </si>
  <si>
    <t>Cash Flow After Undistributed Operating Expenses</t>
  </si>
  <si>
    <t>Income Before Fixed Charges</t>
  </si>
  <si>
    <t>Fixed Charges</t>
  </si>
  <si>
    <t>Total Fixed Charges</t>
  </si>
  <si>
    <t>Net Operating Income</t>
  </si>
  <si>
    <t>Exit Cap Rate (Forward)</t>
  </si>
  <si>
    <t>Exit Sales Value</t>
  </si>
  <si>
    <t>Net Sales Value</t>
  </si>
  <si>
    <t>Unlevered Cash Flow</t>
  </si>
  <si>
    <t>Unlevered Cash Flow (adj. for full equity raise upfront)</t>
  </si>
  <si>
    <t>Unlevered Return Metrics</t>
  </si>
  <si>
    <t>Debt Financing:</t>
  </si>
  <si>
    <t>Senior Loan (Refinance):</t>
  </si>
  <si>
    <t>Beginning Balance</t>
  </si>
  <si>
    <t>Draw</t>
  </si>
  <si>
    <t>Repayment (Amortization)</t>
  </si>
  <si>
    <t>Repayment (Sale)</t>
  </si>
  <si>
    <t>Ending Balance</t>
  </si>
  <si>
    <t>Financing / Debt Placement Fees</t>
  </si>
  <si>
    <t>Interest Expense</t>
  </si>
  <si>
    <t>Senior Loan:</t>
  </si>
  <si>
    <t>Repayment (Refi)</t>
  </si>
  <si>
    <t>Mezzanine Loan:</t>
  </si>
  <si>
    <t>Levered Cash Flow</t>
  </si>
  <si>
    <t>Levered Cash Flow (adj. for full equity raise upfront)</t>
  </si>
  <si>
    <t>Levered Return Metrics</t>
  </si>
  <si>
    <t>Debt and Yield Metrics</t>
  </si>
  <si>
    <t>NOI</t>
  </si>
  <si>
    <t>Total Debt Service</t>
  </si>
  <si>
    <t>DSCR</t>
  </si>
  <si>
    <t>Mezzanine Loan</t>
  </si>
  <si>
    <t>Total Debt</t>
  </si>
  <si>
    <t>Debt Yield</t>
  </si>
  <si>
    <t>Value</t>
  </si>
  <si>
    <t>Debt Loan to Value</t>
  </si>
  <si>
    <t>Yield on Unlevered Cost</t>
  </si>
  <si>
    <t>Cash on Cash Yield</t>
  </si>
  <si>
    <t>Fixed Expense To Negative *-1</t>
  </si>
  <si>
    <t>Subject Property Penetration</t>
  </si>
  <si>
    <t>Subject</t>
  </si>
  <si>
    <t>Occ. %</t>
  </si>
  <si>
    <t>% Ch.</t>
  </si>
  <si>
    <t xml:space="preserve">ADR </t>
  </si>
  <si>
    <t>XX Area/Market Outlook - Upper Tier Properties</t>
  </si>
  <si>
    <t>Penetration</t>
  </si>
  <si>
    <t>Source:  XX source company</t>
  </si>
  <si>
    <t>RETURN SUMMARY</t>
  </si>
  <si>
    <t>Project Level</t>
  </si>
  <si>
    <t>Net to LPs</t>
  </si>
  <si>
    <t>Equity Multiple</t>
  </si>
  <si>
    <t>Multi-Tier IRR Waterfall</t>
  </si>
  <si>
    <t>Distribution / Equity Splits</t>
  </si>
  <si>
    <t>After Promote to Sponsor</t>
  </si>
  <si>
    <t>Promote Structure</t>
  </si>
  <si>
    <t>IRR Hurdle</t>
  </si>
  <si>
    <t>Sponsor
Promote</t>
  </si>
  <si>
    <t>GP Equity +
Sponsor</t>
  </si>
  <si>
    <t>IRR Hurdle #1</t>
  </si>
  <si>
    <t>Up to a…</t>
  </si>
  <si>
    <t>IRR Hurdle #2</t>
  </si>
  <si>
    <t>IRR Hurdle #3</t>
  </si>
  <si>
    <t>Thereafter</t>
  </si>
  <si>
    <t>After a…</t>
  </si>
  <si>
    <t>PROJECT LEVEL LEVERED CASH FLOW</t>
  </si>
  <si>
    <t>Limited Partner Equity Contribution</t>
  </si>
  <si>
    <t>General Partner Equity Contribution</t>
  </si>
  <si>
    <t>Total Equity Contribution</t>
  </si>
  <si>
    <t>Total Project Distributions</t>
  </si>
  <si>
    <t>Total Cash Flow to Equity</t>
  </si>
  <si>
    <t>PROJECT LEVEL RETURNS</t>
  </si>
  <si>
    <t>Project Level Equity Multiple</t>
  </si>
  <si>
    <t>TIER 1</t>
  </si>
  <si>
    <t>Equity Splits</t>
  </si>
  <si>
    <t>General Partner + Sponsor</t>
  </si>
  <si>
    <t>Beginning Balance (LP Capital Account)</t>
  </si>
  <si>
    <t>LP Equity Injections</t>
  </si>
  <si>
    <t>LP Equity Accruals</t>
  </si>
  <si>
    <t>Tier 1 LP Equity Distributions (Including Return of Capital)</t>
  </si>
  <si>
    <t>Ending Balance (LP Capital Account)</t>
  </si>
  <si>
    <t>General Partner Equity Injections</t>
  </si>
  <si>
    <t>Limited Partner Cash Flow</t>
  </si>
  <si>
    <t>General Partner Cash Flow</t>
  </si>
  <si>
    <t>Sponsor Promote Cash Flow</t>
  </si>
  <si>
    <t>Remaining Cash to Distribute</t>
  </si>
  <si>
    <t>TIER 2</t>
  </si>
  <si>
    <t>Equity Split</t>
  </si>
  <si>
    <t>Tier 1 LP Equity Distributions</t>
  </si>
  <si>
    <t>Tier 2 LP Equity Distributions</t>
  </si>
  <si>
    <t>TIER 3</t>
  </si>
  <si>
    <t>Tier 3 LP Equity Distributions</t>
  </si>
  <si>
    <t>TIER 4</t>
  </si>
  <si>
    <t>Final Distributions</t>
  </si>
  <si>
    <t>Above…</t>
  </si>
  <si>
    <t>RETURNS SUMMARY</t>
  </si>
  <si>
    <t>Total Project Cash Flow</t>
  </si>
  <si>
    <t>Net Cash Flow</t>
  </si>
  <si>
    <t>Invested Equity</t>
  </si>
  <si>
    <t>General Partner Equity Co-Invest Cash Flow</t>
  </si>
  <si>
    <t>GP Co-Invest + Sponsor Promote Cash Flow</t>
  </si>
  <si>
    <t>Cash Flow Check (Must be $0)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</si>
</sst>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164" formatCode="0.0%"/>
    <numFmt numFmtId="165" formatCode="0.00\x"/>
    <numFmt numFmtId="166" formatCode="&quot;up to a&quot;\ 0.0%\ &quot;IRR&quot;"/>
    <numFmt numFmtId="167" formatCode="&quot;Year&quot;\ 0"/>
    <numFmt numFmtId="168" formatCode="0&quot; month(s)&quot;"/>
    <numFmt numFmtId="169" formatCode="&quot;Year&quot;\ #"/>
    <numFmt numFmtId="170" formatCode="0\ &quot;years&quot;"/>
    <numFmt numFmtId="171" formatCode="&quot;Year&quot;\ #0"/>
    <numFmt numFmtId="172" formatCode="[$-409]mmm\-yy"/>
    <numFmt numFmtId="173" formatCode="0\ &quot;keys&quot;"/>
    <numFmt numFmtId="174" formatCode="#,##0.0_);\(#,##0.0\)"/>
    <numFmt numFmtId="175" formatCode="0.0%_);\(0.0%\);\-\-\%_)"/>
    <numFmt numFmtId="176" formatCode="&quot;Year&quot;\ #;\ &quot;Year&quot;\ #;\ &quot;Year&quot;\ 0"/>
    <numFmt numFmtId="177" formatCode="&quot;$&quot;#,##0_);\(&quot;$&quot;#,##0\);&quot;  &quot;"/>
    <numFmt numFmtId="178" formatCode="#0.00%_);\(#0.00%\)"/>
    <numFmt numFmtId="179" formatCode="&quot;$&quot;#,##0.000_);\(&quot;$&quot;#,##0.000\)"/>
    <numFmt numFmtId="180" formatCode="#0.00\x"/>
    <numFmt numFmtId="181" formatCode="0.0\x"/>
    <numFmt numFmtId="182" formatCode="#0.0%_);\(#0.0%\)"/>
    <numFmt numFmtId="183" formatCode="&quot;Month &quot;General"/>
    <numFmt numFmtId="184" formatCode="&quot;$&quot;#,##0"/>
    <numFmt numFmtId="185" formatCode="0.000%"/>
    <numFmt numFmtId="186" formatCode="0.00&quot;x&quot;"/>
    <numFmt numFmtId="187" formatCode="0.000000000%"/>
  </numFmts>
  <fonts count="38" x14ac:knownFonts="1">
    <font>
      <sz val="11"/>
      <color theme="1"/>
      <name val="Calibri"/>
      <scheme val="minor"/>
    </font>
    <font>
      <b/>
      <sz val="14"/>
      <color rgb="FF0432FF"/>
      <name val="Arial"/>
      <family val="2"/>
    </font>
    <font>
      <sz val="14"/>
      <color theme="1"/>
      <name val="Arial"/>
      <family val="2"/>
    </font>
    <font>
      <b/>
      <sz val="14"/>
      <color rgb="FFC00000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432FF"/>
      <name val="Arial"/>
      <family val="2"/>
    </font>
    <font>
      <u/>
      <sz val="10"/>
      <color theme="1"/>
      <name val="Arial"/>
      <family val="2"/>
    </font>
    <font>
      <sz val="10"/>
      <color rgb="FF0000FF"/>
      <name val="Arial"/>
      <family val="2"/>
    </font>
    <font>
      <u/>
      <sz val="11"/>
      <color theme="1"/>
      <name val="Calibri"/>
      <family val="2"/>
    </font>
    <font>
      <b/>
      <u/>
      <sz val="10"/>
      <color theme="1"/>
      <name val="Arial"/>
      <family val="2"/>
    </font>
    <font>
      <sz val="11"/>
      <name val="Calibri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7F7F7F"/>
      <name val="Arial"/>
      <family val="2"/>
    </font>
    <font>
      <sz val="9"/>
      <color theme="1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0"/>
      <color rgb="FF008000"/>
      <name val="Arial"/>
      <family val="2"/>
    </font>
    <font>
      <sz val="11"/>
      <color theme="1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Verdana"/>
      <family val="2"/>
    </font>
    <font>
      <b/>
      <sz val="10"/>
      <color theme="0"/>
      <name val="Calibri"/>
      <family val="2"/>
    </font>
    <font>
      <sz val="10"/>
      <color theme="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8"/>
      <color theme="0"/>
      <name val="Arial"/>
      <family val="2"/>
    </font>
    <font>
      <b/>
      <sz val="10"/>
      <color rgb="FFC00000"/>
      <name val="Arial"/>
      <family val="2"/>
    </font>
    <font>
      <b/>
      <sz val="10"/>
      <color rgb="FFFFD965"/>
      <name val="Arial"/>
      <family val="2"/>
    </font>
    <font>
      <sz val="10"/>
      <color rgb="FF7F7F7F"/>
      <name val="Calibri"/>
      <family val="2"/>
    </font>
    <font>
      <sz val="10"/>
      <color rgb="FFC00000"/>
      <name val="Arial"/>
      <family val="2"/>
    </font>
    <font>
      <b/>
      <sz val="14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333F4F"/>
        <bgColor rgb="FF333F4F"/>
      </patternFill>
    </fill>
    <fill>
      <patternFill patternType="solid">
        <fgColor rgb="FFEAEAEA"/>
        <bgColor rgb="FFEAEAEA"/>
      </patternFill>
    </fill>
    <fill>
      <patternFill patternType="solid">
        <fgColor rgb="FFD6DCE4"/>
        <bgColor rgb="FFD6DCE4"/>
      </patternFill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ECECEC"/>
        <bgColor rgb="FFECECEC"/>
      </patternFill>
    </fill>
  </fills>
  <borders count="67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rgb="FF7F7F7F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7F7F7F"/>
      </right>
      <top style="thin">
        <color rgb="FFBFBFBF"/>
      </top>
      <bottom style="thin">
        <color rgb="FFBFBFBF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/>
      <top style="thin">
        <color rgb="FFD8D8D8"/>
      </top>
      <bottom/>
      <diagonal/>
    </border>
    <border>
      <left/>
      <right style="thin">
        <color rgb="FF7F7F7F"/>
      </right>
      <top style="thin">
        <color rgb="FFD8D8D8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BFBFBF"/>
      </right>
      <top style="thin">
        <color rgb="FF7F7F7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7F7F7F"/>
      </top>
      <bottom style="thin">
        <color rgb="FFBFBFBF"/>
      </bottom>
      <diagonal/>
    </border>
    <border>
      <left style="thin">
        <color rgb="FFBFBFBF"/>
      </left>
      <right style="thin">
        <color rgb="FF7F7F7F"/>
      </right>
      <top style="thin">
        <color rgb="FF7F7F7F"/>
      </top>
      <bottom style="thin">
        <color rgb="FFBFBFBF"/>
      </bottom>
      <diagonal/>
    </border>
    <border>
      <left style="thin">
        <color rgb="FF7F7F7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7F7F7F"/>
      </right>
      <top style="thin">
        <color rgb="FFBFBFBF"/>
      </top>
      <bottom style="thin">
        <color rgb="FFBFBFBF"/>
      </bottom>
      <diagonal/>
    </border>
    <border>
      <left style="thin">
        <color rgb="FF7F7F7F"/>
      </left>
      <right style="thin">
        <color rgb="FFBFBFBF"/>
      </right>
      <top style="thin">
        <color rgb="FFBFBFBF"/>
      </top>
      <bottom style="thin">
        <color rgb="FF7F7F7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7F7F7F"/>
      </bottom>
      <diagonal/>
    </border>
    <border>
      <left style="thin">
        <color rgb="FFBFBFBF"/>
      </left>
      <right style="thin">
        <color rgb="FF7F7F7F"/>
      </right>
      <top style="thin">
        <color rgb="FFBFBFBF"/>
      </top>
      <bottom style="thin">
        <color rgb="FF7F7F7F"/>
      </bottom>
      <diagonal/>
    </border>
    <border>
      <left style="thin">
        <color rgb="FF7F7F7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 style="thin">
        <color rgb="FF7F7F7F"/>
      </right>
      <top/>
      <bottom style="thin">
        <color rgb="FFBFBFBF"/>
      </bottom>
      <diagonal/>
    </border>
    <border>
      <left style="thin">
        <color rgb="FF7F7F7F"/>
      </left>
      <right/>
      <top style="thin">
        <color rgb="FFBFBFBF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7F7F7F"/>
      </right>
      <top style="thin">
        <color rgb="FFBFBFBF"/>
      </top>
      <bottom/>
      <diagonal/>
    </border>
    <border>
      <left/>
      <right style="thin">
        <color rgb="FF7F7F7F"/>
      </right>
      <top/>
      <bottom style="thin">
        <color rgb="FF000000"/>
      </bottom>
      <diagonal/>
    </border>
    <border>
      <left/>
      <right style="thin">
        <color rgb="FF7F7F7F"/>
      </right>
      <top style="thin">
        <color rgb="FF000000"/>
      </top>
      <bottom/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7F7F7F"/>
      </right>
      <top style="thin">
        <color rgb="FFD8D8D8"/>
      </top>
      <bottom style="thin">
        <color rgb="FFD8D8D8"/>
      </bottom>
      <diagonal/>
    </border>
    <border>
      <left style="thin">
        <color rgb="FF7F7F7F"/>
      </left>
      <right/>
      <top style="thin">
        <color rgb="FFBFBFBF"/>
      </top>
      <bottom style="thin">
        <color rgb="FF7F7F7F"/>
      </bottom>
      <diagonal/>
    </border>
    <border>
      <left/>
      <right/>
      <top style="thin">
        <color rgb="FFBFBFBF"/>
      </top>
      <bottom style="thin">
        <color rgb="FF7F7F7F"/>
      </bottom>
      <diagonal/>
    </border>
    <border>
      <left/>
      <right style="thin">
        <color rgb="FF7F7F7F"/>
      </right>
      <top style="thin">
        <color rgb="FFBFBFBF"/>
      </top>
      <bottom style="thin">
        <color rgb="FF7F7F7F"/>
      </bottom>
      <diagonal/>
    </border>
    <border>
      <left/>
      <right/>
      <top/>
      <bottom style="thin">
        <color rgb="FFD8D8D8"/>
      </bottom>
      <diagonal/>
    </border>
    <border>
      <left style="thin">
        <color rgb="FF7F7F7F"/>
      </left>
      <right/>
      <top/>
      <bottom style="thin">
        <color rgb="FFD8D8D8"/>
      </bottom>
      <diagonal/>
    </border>
    <border>
      <left/>
      <right style="thin">
        <color rgb="FF7F7F7F"/>
      </right>
      <top/>
      <bottom style="thin">
        <color rgb="FFD8D8D8"/>
      </bottom>
      <diagonal/>
    </border>
    <border>
      <left/>
      <right style="thin">
        <color rgb="FF7F7F7F"/>
      </right>
      <top/>
      <bottom style="thin">
        <color theme="1"/>
      </bottom>
      <diagonal/>
    </border>
    <border>
      <left style="thin">
        <color rgb="FF7F7F7F"/>
      </left>
      <right/>
      <top style="thin">
        <color rgb="FF000000"/>
      </top>
      <bottom/>
      <diagonal/>
    </border>
    <border>
      <left style="thin">
        <color rgb="FFD8D8D8"/>
      </left>
      <right/>
      <top style="thin">
        <color rgb="FFD8D8D8"/>
      </top>
      <bottom/>
      <diagonal/>
    </border>
    <border>
      <left/>
      <right/>
      <top style="thin">
        <color rgb="FFD8D8D8"/>
      </top>
      <bottom/>
      <diagonal/>
    </border>
    <border>
      <left/>
      <right style="thin">
        <color rgb="FFD8D8D8"/>
      </right>
      <top style="thin">
        <color rgb="FFD8D8D8"/>
      </top>
      <bottom/>
      <diagonal/>
    </border>
    <border>
      <left style="thin">
        <color rgb="FFD8D8D8"/>
      </left>
      <right/>
      <top/>
      <bottom/>
      <diagonal/>
    </border>
    <border>
      <left/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D8D8D8"/>
      </bottom>
      <diagonal/>
    </border>
    <border>
      <left/>
      <right style="thin">
        <color rgb="FFD8D8D8"/>
      </right>
      <top/>
      <bottom style="thin">
        <color rgb="FFD8D8D8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9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right"/>
    </xf>
    <xf numFmtId="0" fontId="4" fillId="0" borderId="1" xfId="0" applyFont="1" applyBorder="1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2" borderId="2" xfId="0" applyFont="1" applyFill="1" applyBorder="1"/>
    <xf numFmtId="0" fontId="8" fillId="2" borderId="3" xfId="0" applyFont="1" applyFill="1" applyBorder="1"/>
    <xf numFmtId="0" fontId="8" fillId="2" borderId="4" xfId="0" applyFont="1" applyFill="1" applyBorder="1"/>
    <xf numFmtId="0" fontId="8" fillId="2" borderId="5" xfId="0" applyFont="1" applyFill="1" applyBorder="1"/>
    <xf numFmtId="0" fontId="8" fillId="2" borderId="6" xfId="0" applyFont="1" applyFill="1" applyBorder="1"/>
    <xf numFmtId="0" fontId="8" fillId="2" borderId="7" xfId="0" applyFont="1" applyFill="1" applyBorder="1"/>
    <xf numFmtId="0" fontId="7" fillId="0" borderId="8" xfId="0" applyFont="1" applyBorder="1" applyAlignment="1">
      <alignment horizontal="left"/>
    </xf>
    <xf numFmtId="10" fontId="7" fillId="0" borderId="9" xfId="0" applyNumberFormat="1" applyFont="1" applyBorder="1"/>
    <xf numFmtId="0" fontId="9" fillId="0" borderId="0" xfId="0" applyFont="1"/>
    <xf numFmtId="165" fontId="7" fillId="0" borderId="9" xfId="0" applyNumberFormat="1" applyFont="1" applyBorder="1"/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7" fontId="7" fillId="0" borderId="0" xfId="0" applyNumberFormat="1" applyFont="1"/>
    <xf numFmtId="0" fontId="9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3" xfId="0" applyFont="1" applyBorder="1"/>
    <xf numFmtId="0" fontId="16" fillId="0" borderId="0" xfId="0" applyFont="1" applyAlignment="1">
      <alignment horizontal="center"/>
    </xf>
    <xf numFmtId="10" fontId="7" fillId="0" borderId="0" xfId="0" applyNumberFormat="1" applyFont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0" xfId="0" applyFont="1" applyAlignment="1">
      <alignment horizontal="center"/>
    </xf>
    <xf numFmtId="6" fontId="7" fillId="0" borderId="0" xfId="0" applyNumberFormat="1" applyFont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8" xfId="0" applyFont="1" applyBorder="1"/>
    <xf numFmtId="0" fontId="7" fillId="0" borderId="24" xfId="0" applyFont="1" applyBorder="1"/>
    <xf numFmtId="0" fontId="9" fillId="0" borderId="25" xfId="0" applyFont="1" applyBorder="1"/>
    <xf numFmtId="0" fontId="6" fillId="0" borderId="25" xfId="0" applyFont="1" applyBorder="1" applyAlignment="1">
      <alignment horizontal="right"/>
    </xf>
    <xf numFmtId="10" fontId="7" fillId="0" borderId="26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164" fontId="7" fillId="0" borderId="0" xfId="0" applyNumberFormat="1" applyFont="1"/>
    <xf numFmtId="0" fontId="9" fillId="3" borderId="29" xfId="0" applyFont="1" applyFill="1" applyBorder="1"/>
    <xf numFmtId="0" fontId="9" fillId="3" borderId="10" xfId="0" applyFont="1" applyFill="1" applyBorder="1"/>
    <xf numFmtId="37" fontId="9" fillId="3" borderId="28" xfId="0" applyNumberFormat="1" applyFont="1" applyFill="1" applyBorder="1"/>
    <xf numFmtId="0" fontId="7" fillId="0" borderId="31" xfId="0" applyFont="1" applyBorder="1"/>
    <xf numFmtId="0" fontId="7" fillId="0" borderId="26" xfId="0" applyFont="1" applyBorder="1"/>
    <xf numFmtId="0" fontId="9" fillId="3" borderId="32" xfId="0" applyFont="1" applyFill="1" applyBorder="1"/>
    <xf numFmtId="0" fontId="9" fillId="3" borderId="33" xfId="0" applyFont="1" applyFill="1" applyBorder="1"/>
    <xf numFmtId="37" fontId="18" fillId="3" borderId="34" xfId="0" applyNumberFormat="1" applyFont="1" applyFill="1" applyBorder="1"/>
    <xf numFmtId="37" fontId="7" fillId="0" borderId="9" xfId="0" applyNumberFormat="1" applyFont="1" applyBorder="1"/>
    <xf numFmtId="37" fontId="17" fillId="0" borderId="9" xfId="0" applyNumberFormat="1" applyFont="1" applyBorder="1"/>
    <xf numFmtId="0" fontId="6" fillId="0" borderId="0" xfId="0" applyFont="1" applyAlignment="1">
      <alignment horizontal="center"/>
    </xf>
    <xf numFmtId="0" fontId="19" fillId="0" borderId="35" xfId="0" applyFont="1" applyBorder="1" applyAlignment="1">
      <alignment horizontal="center"/>
    </xf>
    <xf numFmtId="0" fontId="7" fillId="0" borderId="25" xfId="0" applyFont="1" applyBorder="1"/>
    <xf numFmtId="169" fontId="7" fillId="0" borderId="0" xfId="0" applyNumberFormat="1" applyFont="1" applyAlignment="1">
      <alignment horizontal="center"/>
    </xf>
    <xf numFmtId="37" fontId="7" fillId="0" borderId="36" xfId="0" applyNumberFormat="1" applyFont="1" applyBorder="1"/>
    <xf numFmtId="5" fontId="7" fillId="0" borderId="0" xfId="0" applyNumberFormat="1" applyFont="1"/>
    <xf numFmtId="164" fontId="20" fillId="0" borderId="25" xfId="0" applyNumberFormat="1" applyFont="1" applyBorder="1"/>
    <xf numFmtId="5" fontId="7" fillId="0" borderId="0" xfId="0" applyNumberFormat="1" applyFont="1" applyAlignment="1">
      <alignment horizontal="center"/>
    </xf>
    <xf numFmtId="6" fontId="7" fillId="0" borderId="0" xfId="0" applyNumberFormat="1" applyFont="1"/>
    <xf numFmtId="171" fontId="9" fillId="0" borderId="37" xfId="0" applyNumberFormat="1" applyFont="1" applyBorder="1" applyAlignment="1">
      <alignment horizontal="center"/>
    </xf>
    <xf numFmtId="0" fontId="7" fillId="0" borderId="38" xfId="0" applyFont="1" applyBorder="1"/>
    <xf numFmtId="164" fontId="17" fillId="0" borderId="0" xfId="0" applyNumberFormat="1" applyFont="1"/>
    <xf numFmtId="0" fontId="9" fillId="0" borderId="19" xfId="0" applyFont="1" applyBorder="1" applyAlignment="1">
      <alignment horizontal="center"/>
    </xf>
    <xf numFmtId="7" fontId="17" fillId="0" borderId="0" xfId="0" applyNumberFormat="1" applyFont="1"/>
    <xf numFmtId="39" fontId="12" fillId="0" borderId="0" xfId="0" applyNumberFormat="1" applyFont="1"/>
    <xf numFmtId="39" fontId="17" fillId="0" borderId="0" xfId="0" applyNumberFormat="1" applyFont="1"/>
    <xf numFmtId="39" fontId="7" fillId="0" borderId="0" xfId="0" applyNumberFormat="1" applyFont="1"/>
    <xf numFmtId="0" fontId="9" fillId="0" borderId="22" xfId="0" applyFont="1" applyBorder="1" applyAlignment="1">
      <alignment horizontal="center"/>
    </xf>
    <xf numFmtId="0" fontId="22" fillId="2" borderId="6" xfId="0" applyFont="1" applyFill="1" applyBorder="1"/>
    <xf numFmtId="0" fontId="22" fillId="2" borderId="7" xfId="0" applyFont="1" applyFill="1" applyBorder="1"/>
    <xf numFmtId="176" fontId="12" fillId="0" borderId="0" xfId="0" applyNumberFormat="1" applyFont="1" applyAlignment="1">
      <alignment horizontal="center"/>
    </xf>
    <xf numFmtId="3" fontId="7" fillId="0" borderId="0" xfId="0" applyNumberFormat="1" applyFont="1"/>
    <xf numFmtId="0" fontId="25" fillId="0" borderId="0" xfId="0" applyFont="1"/>
    <xf numFmtId="0" fontId="7" fillId="0" borderId="0" xfId="0" applyFont="1" applyAlignment="1">
      <alignment vertical="center"/>
    </xf>
    <xf numFmtId="7" fontId="7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82" fontId="6" fillId="0" borderId="0" xfId="0" applyNumberFormat="1" applyFont="1" applyAlignment="1">
      <alignment vertical="center"/>
    </xf>
    <xf numFmtId="7" fontId="17" fillId="0" borderId="0" xfId="0" applyNumberFormat="1" applyFont="1" applyAlignment="1">
      <alignment vertical="center"/>
    </xf>
    <xf numFmtId="0" fontId="27" fillId="0" borderId="0" xfId="0" applyFont="1" applyAlignment="1">
      <alignment vertical="top" wrapText="1"/>
    </xf>
    <xf numFmtId="0" fontId="7" fillId="6" borderId="10" xfId="0" applyFont="1" applyFill="1" applyBorder="1"/>
    <xf numFmtId="10" fontId="7" fillId="0" borderId="27" xfId="0" applyNumberFormat="1" applyFont="1" applyBorder="1" applyAlignment="1">
      <alignment horizontal="center"/>
    </xf>
    <xf numFmtId="0" fontId="7" fillId="0" borderId="27" xfId="0" applyFont="1" applyBorder="1" applyAlignment="1">
      <alignment horizontal="left"/>
    </xf>
    <xf numFmtId="0" fontId="9" fillId="0" borderId="27" xfId="0" applyFont="1" applyBorder="1"/>
    <xf numFmtId="0" fontId="7" fillId="0" borderId="29" xfId="0" applyFont="1" applyBorder="1" applyAlignment="1">
      <alignment horizontal="left"/>
    </xf>
    <xf numFmtId="0" fontId="9" fillId="0" borderId="28" xfId="0" applyFont="1" applyBorder="1"/>
    <xf numFmtId="0" fontId="7" fillId="0" borderId="29" xfId="0" applyFont="1" applyBorder="1"/>
    <xf numFmtId="0" fontId="7" fillId="0" borderId="28" xfId="0" applyFont="1" applyBorder="1"/>
    <xf numFmtId="165" fontId="7" fillId="0" borderId="27" xfId="0" applyNumberFormat="1" applyFont="1" applyBorder="1" applyAlignment="1">
      <alignment horizontal="center"/>
    </xf>
    <xf numFmtId="0" fontId="7" fillId="0" borderId="27" xfId="0" applyFont="1" applyBorder="1"/>
    <xf numFmtId="37" fontId="12" fillId="0" borderId="28" xfId="0" applyNumberFormat="1" applyFont="1" applyBorder="1"/>
    <xf numFmtId="0" fontId="9" fillId="0" borderId="2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7" fillId="0" borderId="41" xfId="0" applyFont="1" applyBorder="1"/>
    <xf numFmtId="0" fontId="7" fillId="0" borderId="42" xfId="0" applyFont="1" applyBorder="1"/>
    <xf numFmtId="0" fontId="7" fillId="0" borderId="42" xfId="0" applyFont="1" applyBorder="1" applyAlignment="1">
      <alignment horizontal="left"/>
    </xf>
    <xf numFmtId="37" fontId="7" fillId="0" borderId="43" xfId="0" applyNumberFormat="1" applyFont="1" applyBorder="1"/>
    <xf numFmtId="37" fontId="7" fillId="0" borderId="28" xfId="0" applyNumberFormat="1" applyFont="1" applyBorder="1"/>
    <xf numFmtId="0" fontId="14" fillId="0" borderId="29" xfId="0" applyFont="1" applyBorder="1" applyAlignment="1">
      <alignment horizontal="center"/>
    </xf>
    <xf numFmtId="0" fontId="7" fillId="0" borderId="50" xfId="0" applyFont="1" applyBorder="1"/>
    <xf numFmtId="10" fontId="7" fillId="0" borderId="28" xfId="0" applyNumberFormat="1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10" fontId="7" fillId="0" borderId="29" xfId="0" applyNumberFormat="1" applyFont="1" applyBorder="1" applyAlignment="1">
      <alignment horizontal="center"/>
    </xf>
    <xf numFmtId="164" fontId="7" fillId="0" borderId="28" xfId="0" applyNumberFormat="1" applyFont="1" applyBorder="1" applyAlignment="1">
      <alignment horizontal="center"/>
    </xf>
    <xf numFmtId="166" fontId="7" fillId="0" borderId="29" xfId="0" applyNumberFormat="1" applyFont="1" applyBorder="1" applyAlignment="1">
      <alignment horizontal="left"/>
    </xf>
    <xf numFmtId="166" fontId="7" fillId="0" borderId="32" xfId="0" applyNumberFormat="1" applyFont="1" applyBorder="1" applyAlignment="1">
      <alignment horizontal="left"/>
    </xf>
    <xf numFmtId="0" fontId="7" fillId="0" borderId="33" xfId="0" applyFont="1" applyBorder="1"/>
    <xf numFmtId="164" fontId="7" fillId="0" borderId="34" xfId="0" applyNumberFormat="1" applyFont="1" applyBorder="1" applyAlignment="1">
      <alignment horizontal="center"/>
    </xf>
    <xf numFmtId="10" fontId="7" fillId="0" borderId="32" xfId="0" applyNumberFormat="1" applyFont="1" applyBorder="1" applyAlignment="1">
      <alignment horizontal="center"/>
    </xf>
    <xf numFmtId="6" fontId="7" fillId="0" borderId="33" xfId="0" applyNumberFormat="1" applyFont="1" applyBorder="1" applyAlignment="1">
      <alignment horizontal="center"/>
    </xf>
    <xf numFmtId="164" fontId="17" fillId="0" borderId="27" xfId="0" applyNumberFormat="1" applyFont="1" applyBorder="1" applyAlignment="1">
      <alignment horizontal="center"/>
    </xf>
    <xf numFmtId="0" fontId="9" fillId="0" borderId="29" xfId="0" applyFont="1" applyBorder="1"/>
    <xf numFmtId="37" fontId="7" fillId="0" borderId="30" xfId="0" applyNumberFormat="1" applyFont="1" applyBorder="1"/>
    <xf numFmtId="37" fontId="17" fillId="0" borderId="28" xfId="0" applyNumberFormat="1" applyFont="1" applyBorder="1"/>
    <xf numFmtId="0" fontId="7" fillId="0" borderId="32" xfId="0" applyFont="1" applyBorder="1"/>
    <xf numFmtId="164" fontId="7" fillId="0" borderId="33" xfId="0" applyNumberFormat="1" applyFont="1" applyBorder="1" applyAlignment="1">
      <alignment horizontal="center"/>
    </xf>
    <xf numFmtId="0" fontId="14" fillId="0" borderId="29" xfId="0" applyFont="1" applyBorder="1"/>
    <xf numFmtId="164" fontId="7" fillId="0" borderId="27" xfId="0" applyNumberFormat="1" applyFont="1" applyBorder="1" applyAlignment="1">
      <alignment horizontal="center"/>
    </xf>
    <xf numFmtId="164" fontId="7" fillId="0" borderId="42" xfId="0" applyNumberFormat="1" applyFont="1" applyBorder="1" applyAlignment="1">
      <alignment horizontal="center"/>
    </xf>
    <xf numFmtId="169" fontId="7" fillId="0" borderId="33" xfId="0" applyNumberFormat="1" applyFont="1" applyBorder="1" applyAlignment="1">
      <alignment horizontal="center"/>
    </xf>
    <xf numFmtId="37" fontId="7" fillId="0" borderId="34" xfId="0" applyNumberFormat="1" applyFont="1" applyBorder="1"/>
    <xf numFmtId="171" fontId="9" fillId="0" borderId="58" xfId="0" applyNumberFormat="1" applyFont="1" applyBorder="1" applyAlignment="1">
      <alignment horizontal="center"/>
    </xf>
    <xf numFmtId="0" fontId="7" fillId="0" borderId="64" xfId="0" applyFont="1" applyBorder="1"/>
    <xf numFmtId="164" fontId="17" fillId="0" borderId="28" xfId="0" applyNumberFormat="1" applyFont="1" applyBorder="1"/>
    <xf numFmtId="7" fontId="17" fillId="0" borderId="28" xfId="0" applyNumberFormat="1" applyFont="1" applyBorder="1"/>
    <xf numFmtId="164" fontId="7" fillId="0" borderId="28" xfId="0" applyNumberFormat="1" applyFont="1" applyBorder="1"/>
    <xf numFmtId="39" fontId="17" fillId="0" borderId="28" xfId="0" applyNumberFormat="1" applyFont="1" applyBorder="1"/>
    <xf numFmtId="39" fontId="12" fillId="0" borderId="28" xfId="0" applyNumberFormat="1" applyFont="1" applyBorder="1"/>
    <xf numFmtId="39" fontId="7" fillId="0" borderId="28" xfId="0" applyNumberFormat="1" applyFont="1" applyBorder="1"/>
    <xf numFmtId="164" fontId="17" fillId="0" borderId="33" xfId="0" applyNumberFormat="1" applyFont="1" applyBorder="1"/>
    <xf numFmtId="164" fontId="17" fillId="0" borderId="34" xfId="0" applyNumberFormat="1" applyFont="1" applyBorder="1"/>
    <xf numFmtId="0" fontId="9" fillId="0" borderId="29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28" xfId="0" applyFont="1" applyBorder="1" applyAlignment="1">
      <alignment horizontal="right" vertical="center"/>
    </xf>
    <xf numFmtId="0" fontId="14" fillId="0" borderId="29" xfId="0" applyFont="1" applyBorder="1" applyAlignment="1">
      <alignment vertical="center"/>
    </xf>
    <xf numFmtId="7" fontId="7" fillId="0" borderId="28" xfId="0" applyNumberFormat="1" applyFont="1" applyBorder="1" applyAlignment="1">
      <alignment vertical="center"/>
    </xf>
    <xf numFmtId="0" fontId="7" fillId="0" borderId="29" xfId="0" applyFont="1" applyBorder="1" applyAlignment="1">
      <alignment horizontal="left" vertical="center"/>
    </xf>
    <xf numFmtId="164" fontId="7" fillId="0" borderId="28" xfId="0" applyNumberFormat="1" applyFont="1" applyBorder="1" applyAlignment="1">
      <alignment vertical="center"/>
    </xf>
    <xf numFmtId="0" fontId="6" fillId="0" borderId="29" xfId="0" quotePrefix="1" applyFont="1" applyBorder="1" applyAlignment="1">
      <alignment horizontal="left" vertical="center"/>
    </xf>
    <xf numFmtId="164" fontId="6" fillId="0" borderId="28" xfId="0" applyNumberFormat="1" applyFont="1" applyBorder="1" applyAlignment="1">
      <alignment vertical="center"/>
    </xf>
    <xf numFmtId="0" fontId="7" fillId="0" borderId="29" xfId="0" quotePrefix="1" applyFont="1" applyBorder="1" applyAlignment="1">
      <alignment horizontal="left" vertical="center"/>
    </xf>
    <xf numFmtId="182" fontId="6" fillId="0" borderId="28" xfId="0" applyNumberFormat="1" applyFont="1" applyBorder="1" applyAlignment="1">
      <alignment vertical="center"/>
    </xf>
    <xf numFmtId="7" fontId="17" fillId="0" borderId="28" xfId="0" applyNumberFormat="1" applyFont="1" applyBorder="1" applyAlignment="1">
      <alignment vertical="center"/>
    </xf>
    <xf numFmtId="0" fontId="6" fillId="0" borderId="29" xfId="0" applyFont="1" applyBorder="1" applyAlignment="1">
      <alignment horizontal="left" vertical="center"/>
    </xf>
    <xf numFmtId="0" fontId="7" fillId="0" borderId="58" xfId="0" applyFont="1" applyBorder="1"/>
    <xf numFmtId="164" fontId="10" fillId="0" borderId="10" xfId="0" applyNumberFormat="1" applyFont="1" applyBorder="1" applyProtection="1">
      <protection locked="0"/>
    </xf>
    <xf numFmtId="164" fontId="10" fillId="0" borderId="0" xfId="0" applyNumberFormat="1" applyFont="1" applyAlignment="1" applyProtection="1">
      <alignment horizontal="center"/>
      <protection locked="0"/>
    </xf>
    <xf numFmtId="166" fontId="10" fillId="0" borderId="0" xfId="0" applyNumberFormat="1" applyFont="1" applyAlignment="1" applyProtection="1">
      <alignment horizontal="center"/>
      <protection locked="0"/>
    </xf>
    <xf numFmtId="166" fontId="10" fillId="0" borderId="58" xfId="0" applyNumberFormat="1" applyFont="1" applyBorder="1" applyAlignment="1" applyProtection="1">
      <alignment horizontal="right"/>
      <protection locked="0"/>
    </xf>
    <xf numFmtId="164" fontId="10" fillId="0" borderId="33" xfId="0" applyNumberFormat="1" applyFont="1" applyBorder="1" applyAlignment="1" applyProtection="1">
      <alignment horizontal="center"/>
      <protection locked="0"/>
    </xf>
    <xf numFmtId="14" fontId="12" fillId="0" borderId="9" xfId="0" applyNumberFormat="1" applyFont="1" applyBorder="1" applyProtection="1">
      <protection locked="0"/>
    </xf>
    <xf numFmtId="37" fontId="12" fillId="0" borderId="30" xfId="0" applyNumberFormat="1" applyFont="1" applyBorder="1" applyProtection="1">
      <protection locked="0"/>
    </xf>
    <xf numFmtId="10" fontId="10" fillId="0" borderId="27" xfId="0" applyNumberFormat="1" applyFont="1" applyBorder="1" applyAlignment="1" applyProtection="1">
      <alignment horizontal="center"/>
      <protection locked="0"/>
    </xf>
    <xf numFmtId="168" fontId="12" fillId="0" borderId="27" xfId="0" applyNumberFormat="1" applyFont="1" applyBorder="1" applyAlignment="1" applyProtection="1">
      <alignment horizontal="center"/>
      <protection locked="0"/>
    </xf>
    <xf numFmtId="37" fontId="12" fillId="0" borderId="9" xfId="0" applyNumberFormat="1" applyFont="1" applyBorder="1" applyProtection="1">
      <protection locked="0"/>
    </xf>
    <xf numFmtId="164" fontId="12" fillId="0" borderId="30" xfId="0" applyNumberFormat="1" applyFont="1" applyBorder="1" applyProtection="1">
      <protection locked="0"/>
    </xf>
    <xf numFmtId="10" fontId="12" fillId="0" borderId="9" xfId="0" applyNumberFormat="1" applyFont="1" applyBorder="1" applyProtection="1">
      <protection locked="0"/>
    </xf>
    <xf numFmtId="164" fontId="12" fillId="0" borderId="26" xfId="0" applyNumberFormat="1" applyFont="1" applyBorder="1" applyProtection="1">
      <protection locked="0"/>
    </xf>
    <xf numFmtId="0" fontId="10" fillId="0" borderId="35" xfId="0" applyFont="1" applyBorder="1" applyAlignment="1" applyProtection="1">
      <alignment horizontal="right"/>
      <protection locked="0"/>
    </xf>
    <xf numFmtId="170" fontId="12" fillId="0" borderId="28" xfId="0" applyNumberFormat="1" applyFont="1" applyBorder="1" applyProtection="1">
      <protection locked="0"/>
    </xf>
    <xf numFmtId="164" fontId="10" fillId="0" borderId="30" xfId="0" applyNumberFormat="1" applyFont="1" applyBorder="1" applyProtection="1">
      <protection locked="0"/>
    </xf>
    <xf numFmtId="164" fontId="12" fillId="0" borderId="10" xfId="0" applyNumberFormat="1" applyFont="1" applyBorder="1" applyProtection="1">
      <protection locked="0"/>
    </xf>
    <xf numFmtId="7" fontId="12" fillId="0" borderId="10" xfId="0" applyNumberFormat="1" applyFont="1" applyBorder="1" applyProtection="1">
      <protection locked="0"/>
    </xf>
    <xf numFmtId="39" fontId="12" fillId="0" borderId="0" xfId="0" applyNumberFormat="1" applyFont="1" applyProtection="1">
      <protection locked="0"/>
    </xf>
    <xf numFmtId="164" fontId="12" fillId="0" borderId="0" xfId="0" applyNumberFormat="1" applyFont="1" applyProtection="1">
      <protection locked="0"/>
    </xf>
    <xf numFmtId="37" fontId="10" fillId="0" borderId="0" xfId="0" applyNumberFormat="1" applyFont="1" applyProtection="1">
      <protection locked="0"/>
    </xf>
    <xf numFmtId="37" fontId="10" fillId="0" borderId="10" xfId="0" applyNumberFormat="1" applyFont="1" applyBorder="1" applyProtection="1">
      <protection locked="0"/>
    </xf>
    <xf numFmtId="37" fontId="12" fillId="0" borderId="0" xfId="0" applyNumberFormat="1" applyFont="1" applyProtection="1">
      <protection locked="0"/>
    </xf>
    <xf numFmtId="164" fontId="12" fillId="0" borderId="33" xfId="0" applyNumberFormat="1" applyFont="1" applyBorder="1" applyProtection="1">
      <protection locked="0"/>
    </xf>
    <xf numFmtId="6" fontId="12" fillId="0" borderId="0" xfId="0" applyNumberFormat="1" applyFont="1" applyAlignment="1" applyProtection="1">
      <alignment horizontal="center"/>
      <protection locked="0"/>
    </xf>
    <xf numFmtId="10" fontId="12" fillId="0" borderId="0" xfId="0" applyNumberFormat="1" applyFont="1" applyAlignment="1" applyProtection="1">
      <alignment horizontal="center"/>
      <protection locked="0"/>
    </xf>
    <xf numFmtId="164" fontId="12" fillId="0" borderId="0" xfId="0" applyNumberFormat="1" applyFont="1" applyAlignment="1" applyProtection="1">
      <alignment horizontal="center"/>
      <protection locked="0"/>
    </xf>
    <xf numFmtId="169" fontId="12" fillId="0" borderId="0" xfId="0" applyNumberFormat="1" applyFont="1" applyAlignment="1" applyProtection="1">
      <alignment horizontal="center"/>
      <protection locked="0"/>
    </xf>
    <xf numFmtId="167" fontId="12" fillId="0" borderId="28" xfId="0" applyNumberFormat="1" applyFont="1" applyBorder="1" applyProtection="1">
      <protection locked="0"/>
    </xf>
    <xf numFmtId="10" fontId="12" fillId="0" borderId="28" xfId="0" applyNumberFormat="1" applyFont="1" applyBorder="1" applyProtection="1">
      <protection locked="0"/>
    </xf>
    <xf numFmtId="0" fontId="10" fillId="0" borderId="35" xfId="0" applyFont="1" applyBorder="1" applyAlignment="1" applyProtection="1">
      <alignment horizontal="center"/>
      <protection locked="0"/>
    </xf>
    <xf numFmtId="10" fontId="12" fillId="0" borderId="14" xfId="0" applyNumberFormat="1" applyFont="1" applyBorder="1" applyAlignment="1" applyProtection="1">
      <alignment horizontal="center"/>
      <protection locked="0"/>
    </xf>
    <xf numFmtId="37" fontId="12" fillId="0" borderId="14" xfId="0" applyNumberFormat="1" applyFont="1" applyBorder="1" applyAlignment="1" applyProtection="1">
      <alignment horizontal="center"/>
      <protection locked="0"/>
    </xf>
    <xf numFmtId="164" fontId="12" fillId="0" borderId="10" xfId="0" applyNumberFormat="1" applyFont="1" applyBorder="1" applyAlignment="1" applyProtection="1">
      <alignment vertical="center"/>
      <protection locked="0"/>
    </xf>
    <xf numFmtId="164" fontId="12" fillId="0" borderId="28" xfId="0" applyNumberFormat="1" applyFont="1" applyBorder="1" applyAlignment="1" applyProtection="1">
      <alignment vertical="center"/>
      <protection locked="0"/>
    </xf>
    <xf numFmtId="7" fontId="12" fillId="0" borderId="10" xfId="0" applyNumberFormat="1" applyFont="1" applyBorder="1" applyAlignment="1" applyProtection="1">
      <alignment vertical="center"/>
      <protection locked="0"/>
    </xf>
    <xf numFmtId="7" fontId="12" fillId="0" borderId="28" xfId="0" applyNumberFormat="1" applyFont="1" applyBorder="1" applyAlignment="1" applyProtection="1">
      <alignment vertical="center"/>
      <protection locked="0"/>
    </xf>
    <xf numFmtId="0" fontId="14" fillId="5" borderId="29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28" xfId="0" applyFont="1" applyBorder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28" xfId="0" applyNumberFormat="1" applyFont="1" applyBorder="1" applyAlignment="1">
      <alignment vertical="center"/>
    </xf>
    <xf numFmtId="182" fontId="26" fillId="0" borderId="0" xfId="0" applyNumberFormat="1" applyFont="1" applyAlignment="1">
      <alignment vertical="center"/>
    </xf>
    <xf numFmtId="182" fontId="26" fillId="0" borderId="28" xfId="0" applyNumberFormat="1" applyFont="1" applyBorder="1" applyAlignment="1">
      <alignment vertical="center"/>
    </xf>
    <xf numFmtId="164" fontId="6" fillId="0" borderId="0" xfId="0" applyNumberFormat="1" applyFont="1"/>
    <xf numFmtId="164" fontId="6" fillId="0" borderId="28" xfId="0" applyNumberFormat="1" applyFont="1" applyBorder="1"/>
    <xf numFmtId="164" fontId="6" fillId="0" borderId="33" xfId="0" applyNumberFormat="1" applyFont="1" applyBorder="1"/>
    <xf numFmtId="164" fontId="6" fillId="0" borderId="34" xfId="0" applyNumberFormat="1" applyFont="1" applyBorder="1"/>
    <xf numFmtId="0" fontId="6" fillId="5" borderId="10" xfId="0" applyFont="1" applyFill="1" applyBorder="1"/>
    <xf numFmtId="0" fontId="28" fillId="2" borderId="49" xfId="0" applyFont="1" applyFill="1" applyBorder="1" applyAlignment="1">
      <alignment vertical="top"/>
    </xf>
    <xf numFmtId="0" fontId="29" fillId="2" borderId="50" xfId="0" applyFont="1" applyFill="1" applyBorder="1" applyAlignment="1">
      <alignment vertical="top" wrapText="1"/>
    </xf>
    <xf numFmtId="0" fontId="29" fillId="2" borderId="51" xfId="0" applyFont="1" applyFill="1" applyBorder="1" applyAlignment="1">
      <alignment vertical="top" wrapText="1"/>
    </xf>
    <xf numFmtId="0" fontId="30" fillId="4" borderId="49" xfId="0" applyFont="1" applyFill="1" applyBorder="1" applyAlignment="1">
      <alignment vertical="top"/>
    </xf>
    <xf numFmtId="0" fontId="30" fillId="4" borderId="50" xfId="0" applyFont="1" applyFill="1" applyBorder="1" applyAlignment="1">
      <alignment horizontal="center" vertical="top"/>
    </xf>
    <xf numFmtId="0" fontId="30" fillId="4" borderId="51" xfId="0" applyFont="1" applyFill="1" applyBorder="1" applyAlignment="1">
      <alignment horizontal="center" vertical="top"/>
    </xf>
    <xf numFmtId="0" fontId="31" fillId="0" borderId="52" xfId="0" applyFont="1" applyBorder="1" applyAlignment="1">
      <alignment horizontal="left" vertical="top"/>
    </xf>
    <xf numFmtId="10" fontId="31" fillId="0" borderId="0" xfId="0" applyNumberFormat="1" applyFont="1" applyAlignment="1">
      <alignment horizontal="center" vertical="top"/>
    </xf>
    <xf numFmtId="10" fontId="31" fillId="0" borderId="53" xfId="0" applyNumberFormat="1" applyFont="1" applyBorder="1" applyAlignment="1">
      <alignment horizontal="center" vertical="top"/>
    </xf>
    <xf numFmtId="0" fontId="31" fillId="0" borderId="54" xfId="0" applyFont="1" applyBorder="1" applyAlignment="1">
      <alignment horizontal="left" vertical="top"/>
    </xf>
    <xf numFmtId="165" fontId="31" fillId="0" borderId="44" xfId="0" applyNumberFormat="1" applyFont="1" applyBorder="1" applyAlignment="1">
      <alignment horizontal="center" vertical="top"/>
    </xf>
    <xf numFmtId="165" fontId="31" fillId="0" borderId="55" xfId="0" applyNumberFormat="1" applyFont="1" applyBorder="1" applyAlignment="1">
      <alignment horizontal="center" vertical="top"/>
    </xf>
    <xf numFmtId="9" fontId="32" fillId="2" borderId="10" xfId="0" applyNumberFormat="1" applyFont="1" applyFill="1" applyBorder="1" applyAlignment="1">
      <alignment horizontal="left"/>
    </xf>
    <xf numFmtId="0" fontId="33" fillId="2" borderId="10" xfId="0" applyFont="1" applyFill="1" applyBorder="1"/>
    <xf numFmtId="0" fontId="34" fillId="2" borderId="10" xfId="0" applyFont="1" applyFill="1" applyBorder="1" applyAlignment="1">
      <alignment horizontal="left" vertical="top"/>
    </xf>
    <xf numFmtId="0" fontId="9" fillId="0" borderId="61" xfId="0" applyFont="1" applyBorder="1"/>
    <xf numFmtId="0" fontId="9" fillId="0" borderId="64" xfId="0" applyFont="1" applyBorder="1" applyAlignment="1">
      <alignment horizontal="center"/>
    </xf>
    <xf numFmtId="0" fontId="9" fillId="0" borderId="57" xfId="0" applyFont="1" applyBorder="1"/>
    <xf numFmtId="0" fontId="9" fillId="0" borderId="58" xfId="0" applyFont="1" applyBorder="1" applyAlignment="1">
      <alignment horizontal="center"/>
    </xf>
    <xf numFmtId="0" fontId="9" fillId="0" borderId="58" xfId="0" applyFont="1" applyBorder="1" applyAlignment="1">
      <alignment horizontal="center" wrapText="1"/>
    </xf>
    <xf numFmtId="0" fontId="9" fillId="0" borderId="59" xfId="0" applyFont="1" applyBorder="1" applyAlignment="1">
      <alignment horizontal="center" wrapText="1"/>
    </xf>
    <xf numFmtId="0" fontId="6" fillId="6" borderId="63" xfId="0" applyFont="1" applyFill="1" applyBorder="1" applyAlignment="1">
      <alignment horizontal="left"/>
    </xf>
    <xf numFmtId="0" fontId="7" fillId="6" borderId="10" xfId="0" applyFont="1" applyFill="1" applyBorder="1" applyAlignment="1">
      <alignment horizontal="center"/>
    </xf>
    <xf numFmtId="9" fontId="7" fillId="6" borderId="10" xfId="0" applyNumberFormat="1" applyFont="1" applyFill="1" applyBorder="1" applyAlignment="1">
      <alignment horizontal="center"/>
    </xf>
    <xf numFmtId="9" fontId="10" fillId="6" borderId="10" xfId="0" applyNumberFormat="1" applyFont="1" applyFill="1" applyBorder="1" applyAlignment="1">
      <alignment horizontal="center"/>
    </xf>
    <xf numFmtId="9" fontId="7" fillId="6" borderId="63" xfId="0" applyNumberFormat="1" applyFont="1" applyFill="1" applyBorder="1" applyAlignment="1">
      <alignment horizontal="center"/>
    </xf>
    <xf numFmtId="9" fontId="7" fillId="6" borderId="56" xfId="0" applyNumberFormat="1" applyFont="1" applyFill="1" applyBorder="1" applyAlignment="1">
      <alignment horizontal="center"/>
    </xf>
    <xf numFmtId="0" fontId="6" fillId="6" borderId="57" xfId="0" applyFont="1" applyFill="1" applyBorder="1" applyAlignment="1">
      <alignment horizontal="left"/>
    </xf>
    <xf numFmtId="0" fontId="7" fillId="6" borderId="58" xfId="0" applyFont="1" applyFill="1" applyBorder="1"/>
    <xf numFmtId="9" fontId="7" fillId="6" borderId="58" xfId="0" applyNumberFormat="1" applyFont="1" applyFill="1" applyBorder="1" applyAlignment="1">
      <alignment horizontal="center"/>
    </xf>
    <xf numFmtId="9" fontId="7" fillId="6" borderId="57" xfId="0" applyNumberFormat="1" applyFont="1" applyFill="1" applyBorder="1" applyAlignment="1">
      <alignment horizontal="center"/>
    </xf>
    <xf numFmtId="9" fontId="7" fillId="6" borderId="59" xfId="0" applyNumberFormat="1" applyFont="1" applyFill="1" applyBorder="1" applyAlignment="1">
      <alignment horizontal="center"/>
    </xf>
    <xf numFmtId="167" fontId="6" fillId="6" borderId="10" xfId="0" applyNumberFormat="1" applyFont="1" applyFill="1" applyBorder="1" applyAlignment="1">
      <alignment horizontal="center"/>
    </xf>
    <xf numFmtId="0" fontId="8" fillId="2" borderId="10" xfId="0" applyFont="1" applyFill="1" applyBorder="1"/>
    <xf numFmtId="0" fontId="22" fillId="2" borderId="10" xfId="0" applyFont="1" applyFill="1" applyBorder="1"/>
    <xf numFmtId="183" fontId="8" fillId="2" borderId="10" xfId="0" applyNumberFormat="1" applyFont="1" applyFill="1" applyBorder="1" applyAlignment="1">
      <alignment horizontal="center"/>
    </xf>
    <xf numFmtId="172" fontId="8" fillId="2" borderId="10" xfId="0" applyNumberFormat="1" applyFont="1" applyFill="1" applyBorder="1" applyAlignment="1">
      <alignment horizontal="center"/>
    </xf>
    <xf numFmtId="9" fontId="7" fillId="0" borderId="0" xfId="0" applyNumberFormat="1" applyFont="1" applyAlignment="1">
      <alignment horizontal="center"/>
    </xf>
    <xf numFmtId="184" fontId="7" fillId="0" borderId="0" xfId="0" applyNumberFormat="1" applyFont="1" applyAlignment="1">
      <alignment horizontal="center"/>
    </xf>
    <xf numFmtId="9" fontId="7" fillId="0" borderId="58" xfId="0" applyNumberFormat="1" applyFont="1" applyBorder="1" applyAlignment="1">
      <alignment horizontal="center"/>
    </xf>
    <xf numFmtId="0" fontId="9" fillId="3" borderId="60" xfId="0" applyFont="1" applyFill="1" applyBorder="1"/>
    <xf numFmtId="9" fontId="9" fillId="3" borderId="60" xfId="0" applyNumberFormat="1" applyFont="1" applyFill="1" applyBorder="1"/>
    <xf numFmtId="184" fontId="9" fillId="3" borderId="60" xfId="0" applyNumberFormat="1" applyFont="1" applyFill="1" applyBorder="1" applyAlignment="1">
      <alignment horizontal="center"/>
    </xf>
    <xf numFmtId="184" fontId="9" fillId="0" borderId="0" xfId="0" applyNumberFormat="1" applyFont="1" applyAlignment="1">
      <alignment horizontal="center"/>
    </xf>
    <xf numFmtId="0" fontId="7" fillId="4" borderId="61" xfId="0" applyFont="1" applyFill="1" applyBorder="1"/>
    <xf numFmtId="10" fontId="7" fillId="4" borderId="62" xfId="0" applyNumberFormat="1" applyFont="1" applyFill="1" applyBorder="1" applyAlignment="1">
      <alignment horizontal="center"/>
    </xf>
    <xf numFmtId="10" fontId="7" fillId="0" borderId="0" xfId="0" applyNumberFormat="1" applyFont="1"/>
    <xf numFmtId="185" fontId="7" fillId="0" borderId="0" xfId="0" applyNumberFormat="1" applyFont="1"/>
    <xf numFmtId="0" fontId="7" fillId="4" borderId="57" xfId="0" applyFont="1" applyFill="1" applyBorder="1"/>
    <xf numFmtId="186" fontId="7" fillId="4" borderId="59" xfId="0" applyNumberFormat="1" applyFont="1" applyFill="1" applyBorder="1" applyAlignment="1">
      <alignment horizontal="center"/>
    </xf>
    <xf numFmtId="0" fontId="10" fillId="0" borderId="0" xfId="0" applyFont="1"/>
    <xf numFmtId="0" fontId="7" fillId="0" borderId="61" xfId="0" applyFont="1" applyBorder="1"/>
    <xf numFmtId="0" fontId="11" fillId="0" borderId="64" xfId="0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0" fontId="7" fillId="0" borderId="63" xfId="0" applyFont="1" applyBorder="1"/>
    <xf numFmtId="9" fontId="7" fillId="0" borderId="56" xfId="0" applyNumberFormat="1" applyFont="1" applyBorder="1" applyAlignment="1">
      <alignment horizontal="center"/>
    </xf>
    <xf numFmtId="0" fontId="7" fillId="0" borderId="57" xfId="0" applyFont="1" applyBorder="1"/>
    <xf numFmtId="9" fontId="7" fillId="0" borderId="59" xfId="0" applyNumberFormat="1" applyFont="1" applyBorder="1" applyAlignment="1">
      <alignment horizontal="center"/>
    </xf>
    <xf numFmtId="184" fontId="7" fillId="0" borderId="0" xfId="0" applyNumberFormat="1" applyFont="1"/>
    <xf numFmtId="184" fontId="7" fillId="0" borderId="58" xfId="0" applyNumberFormat="1" applyFont="1" applyBorder="1" applyAlignment="1">
      <alignment horizontal="right"/>
    </xf>
    <xf numFmtId="184" fontId="7" fillId="0" borderId="58" xfId="0" applyNumberFormat="1" applyFont="1" applyBorder="1" applyAlignment="1">
      <alignment horizontal="center"/>
    </xf>
    <xf numFmtId="184" fontId="7" fillId="0" borderId="0" xfId="0" applyNumberFormat="1" applyFont="1" applyAlignment="1">
      <alignment horizontal="right"/>
    </xf>
    <xf numFmtId="0" fontId="7" fillId="3" borderId="64" xfId="0" applyFont="1" applyFill="1" applyBorder="1"/>
    <xf numFmtId="9" fontId="7" fillId="3" borderId="64" xfId="0" applyNumberFormat="1" applyFont="1" applyFill="1" applyBorder="1" applyAlignment="1">
      <alignment horizontal="center"/>
    </xf>
    <xf numFmtId="187" fontId="7" fillId="3" borderId="64" xfId="0" applyNumberFormat="1" applyFont="1" applyFill="1" applyBorder="1"/>
    <xf numFmtId="184" fontId="7" fillId="3" borderId="64" xfId="0" applyNumberFormat="1" applyFont="1" applyFill="1" applyBorder="1" applyAlignment="1">
      <alignment horizontal="center"/>
    </xf>
    <xf numFmtId="0" fontId="7" fillId="3" borderId="10" xfId="0" applyFont="1" applyFill="1" applyBorder="1"/>
    <xf numFmtId="9" fontId="7" fillId="3" borderId="10" xfId="0" applyNumberFormat="1" applyFont="1" applyFill="1" applyBorder="1" applyAlignment="1">
      <alignment horizontal="center"/>
    </xf>
    <xf numFmtId="184" fontId="7" fillId="3" borderId="10" xfId="0" applyNumberFormat="1" applyFont="1" applyFill="1" applyBorder="1" applyAlignment="1">
      <alignment horizontal="center"/>
    </xf>
    <xf numFmtId="0" fontId="7" fillId="3" borderId="58" xfId="0" applyFont="1" applyFill="1" applyBorder="1"/>
    <xf numFmtId="9" fontId="7" fillId="3" borderId="58" xfId="0" applyNumberFormat="1" applyFont="1" applyFill="1" applyBorder="1" applyAlignment="1">
      <alignment horizontal="center"/>
    </xf>
    <xf numFmtId="184" fontId="7" fillId="3" borderId="58" xfId="0" applyNumberFormat="1" applyFont="1" applyFill="1" applyBorder="1" applyAlignment="1">
      <alignment horizontal="center"/>
    </xf>
    <xf numFmtId="0" fontId="7" fillId="3" borderId="60" xfId="0" applyFont="1" applyFill="1" applyBorder="1"/>
    <xf numFmtId="184" fontId="7" fillId="3" borderId="60" xfId="0" applyNumberFormat="1" applyFont="1" applyFill="1" applyBorder="1" applyAlignment="1">
      <alignment horizontal="center"/>
    </xf>
    <xf numFmtId="186" fontId="7" fillId="0" borderId="58" xfId="0" applyNumberFormat="1" applyFont="1" applyBorder="1" applyAlignment="1">
      <alignment horizontal="center"/>
    </xf>
    <xf numFmtId="184" fontId="7" fillId="0" borderId="58" xfId="0" applyNumberFormat="1" applyFont="1" applyBorder="1"/>
    <xf numFmtId="49" fontId="7" fillId="0" borderId="0" xfId="0" applyNumberFormat="1" applyFont="1"/>
    <xf numFmtId="0" fontId="7" fillId="0" borderId="58" xfId="0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34" fillId="2" borderId="10" xfId="0" applyFont="1" applyFill="1" applyBorder="1"/>
    <xf numFmtId="0" fontId="7" fillId="4" borderId="63" xfId="0" applyFont="1" applyFill="1" applyBorder="1"/>
    <xf numFmtId="0" fontId="35" fillId="0" borderId="0" xfId="0" applyFont="1" applyAlignment="1">
      <alignment horizontal="center"/>
    </xf>
    <xf numFmtId="0" fontId="7" fillId="7" borderId="61" xfId="0" applyFont="1" applyFill="1" applyBorder="1"/>
    <xf numFmtId="184" fontId="7" fillId="7" borderId="62" xfId="0" applyNumberFormat="1" applyFont="1" applyFill="1" applyBorder="1" applyAlignment="1">
      <alignment horizontal="center"/>
    </xf>
    <xf numFmtId="0" fontId="7" fillId="7" borderId="63" xfId="0" applyFont="1" applyFill="1" applyBorder="1"/>
    <xf numFmtId="184" fontId="7" fillId="7" borderId="56" xfId="0" applyNumberFormat="1" applyFont="1" applyFill="1" applyBorder="1" applyAlignment="1">
      <alignment horizontal="center"/>
    </xf>
    <xf numFmtId="0" fontId="7" fillId="7" borderId="57" xfId="0" applyFont="1" applyFill="1" applyBorder="1"/>
    <xf numFmtId="184" fontId="7" fillId="7" borderId="59" xfId="0" applyNumberFormat="1" applyFont="1" applyFill="1" applyBorder="1" applyAlignment="1">
      <alignment horizontal="center"/>
    </xf>
    <xf numFmtId="184" fontId="7" fillId="0" borderId="64" xfId="0" applyNumberFormat="1" applyFont="1" applyBorder="1" applyAlignment="1">
      <alignment horizontal="center"/>
    </xf>
    <xf numFmtId="184" fontId="7" fillId="4" borderId="56" xfId="0" applyNumberFormat="1" applyFont="1" applyFill="1" applyBorder="1" applyAlignment="1">
      <alignment horizontal="center"/>
    </xf>
    <xf numFmtId="186" fontId="7" fillId="0" borderId="0" xfId="0" applyNumberFormat="1" applyFont="1" applyAlignment="1">
      <alignment horizontal="center"/>
    </xf>
    <xf numFmtId="0" fontId="36" fillId="8" borderId="65" xfId="0" applyFont="1" applyFill="1" applyBorder="1"/>
    <xf numFmtId="184" fontId="36" fillId="8" borderId="66" xfId="0" applyNumberFormat="1" applyFont="1" applyFill="1" applyBorder="1" applyAlignment="1">
      <alignment horizontal="center"/>
    </xf>
    <xf numFmtId="0" fontId="23" fillId="0" borderId="29" xfId="0" applyFont="1" applyBorder="1"/>
    <xf numFmtId="0" fontId="9" fillId="0" borderId="0" xfId="0" applyFont="1" applyAlignment="1">
      <alignment horizontal="right"/>
    </xf>
    <xf numFmtId="14" fontId="9" fillId="0" borderId="0" xfId="0" applyNumberFormat="1" applyFont="1" applyAlignment="1">
      <alignment horizontal="right"/>
    </xf>
    <xf numFmtId="14" fontId="9" fillId="0" borderId="28" xfId="0" applyNumberFormat="1" applyFont="1" applyBorder="1" applyAlignment="1">
      <alignment horizontal="right"/>
    </xf>
    <xf numFmtId="176" fontId="18" fillId="0" borderId="1" xfId="0" applyNumberFormat="1" applyFont="1" applyBorder="1" applyAlignment="1">
      <alignment horizontal="right"/>
    </xf>
    <xf numFmtId="176" fontId="18" fillId="0" borderId="47" xfId="0" applyNumberFormat="1" applyFont="1" applyBorder="1" applyAlignment="1">
      <alignment horizontal="right"/>
    </xf>
    <xf numFmtId="172" fontId="7" fillId="0" borderId="29" xfId="0" applyNumberFormat="1" applyFont="1" applyBorder="1"/>
    <xf numFmtId="7" fontId="7" fillId="0" borderId="0" xfId="0" applyNumberFormat="1" applyFont="1"/>
    <xf numFmtId="7" fontId="7" fillId="0" borderId="28" xfId="0" applyNumberFormat="1" applyFont="1" applyBorder="1"/>
    <xf numFmtId="172" fontId="9" fillId="0" borderId="29" xfId="0" applyNumberFormat="1" applyFont="1" applyBorder="1"/>
    <xf numFmtId="172" fontId="7" fillId="0" borderId="48" xfId="0" applyNumberFormat="1" applyFont="1" applyBorder="1"/>
    <xf numFmtId="5" fontId="7" fillId="0" borderId="28" xfId="0" applyNumberFormat="1" applyFont="1" applyBorder="1"/>
    <xf numFmtId="5" fontId="9" fillId="3" borderId="10" xfId="0" applyNumberFormat="1" applyFont="1" applyFill="1" applyBorder="1"/>
    <xf numFmtId="5" fontId="9" fillId="3" borderId="28" xfId="0" applyNumberFormat="1" applyFont="1" applyFill="1" applyBorder="1"/>
    <xf numFmtId="0" fontId="7" fillId="0" borderId="48" xfId="0" applyFont="1" applyBorder="1"/>
    <xf numFmtId="37" fontId="17" fillId="0" borderId="0" xfId="0" applyNumberFormat="1" applyFont="1"/>
    <xf numFmtId="5" fontId="9" fillId="0" borderId="0" xfId="0" applyNumberFormat="1" applyFont="1"/>
    <xf numFmtId="5" fontId="9" fillId="0" borderId="28" xfId="0" applyNumberFormat="1" applyFont="1" applyBorder="1"/>
    <xf numFmtId="5" fontId="24" fillId="0" borderId="0" xfId="0" applyNumberFormat="1" applyFont="1"/>
    <xf numFmtId="6" fontId="24" fillId="0" borderId="0" xfId="0" applyNumberFormat="1" applyFont="1"/>
    <xf numFmtId="37" fontId="24" fillId="0" borderId="0" xfId="0" applyNumberFormat="1" applyFont="1"/>
    <xf numFmtId="37" fontId="17" fillId="0" borderId="56" xfId="0" applyNumberFormat="1" applyFont="1" applyBorder="1"/>
    <xf numFmtId="0" fontId="9" fillId="4" borderId="29" xfId="0" applyFont="1" applyFill="1" applyBorder="1"/>
    <xf numFmtId="0" fontId="9" fillId="4" borderId="10" xfId="0" applyFont="1" applyFill="1" applyBorder="1"/>
    <xf numFmtId="5" fontId="9" fillId="4" borderId="10" xfId="0" applyNumberFormat="1" applyFont="1" applyFill="1" applyBorder="1"/>
    <xf numFmtId="5" fontId="9" fillId="4" borderId="28" xfId="0" applyNumberFormat="1" applyFont="1" applyFill="1" applyBorder="1"/>
    <xf numFmtId="10" fontId="7" fillId="0" borderId="28" xfId="0" applyNumberFormat="1" applyFont="1" applyBorder="1"/>
    <xf numFmtId="177" fontId="9" fillId="4" borderId="10" xfId="0" applyNumberFormat="1" applyFont="1" applyFill="1" applyBorder="1"/>
    <xf numFmtId="177" fontId="9" fillId="4" borderId="28" xfId="0" applyNumberFormat="1" applyFont="1" applyFill="1" applyBorder="1"/>
    <xf numFmtId="0" fontId="9" fillId="3" borderId="2" xfId="0" applyFont="1" applyFill="1" applyBorder="1"/>
    <xf numFmtId="0" fontId="7" fillId="3" borderId="3" xfId="0" applyFont="1" applyFill="1" applyBorder="1"/>
    <xf numFmtId="0" fontId="7" fillId="3" borderId="4" xfId="0" applyFont="1" applyFill="1" applyBorder="1"/>
    <xf numFmtId="172" fontId="7" fillId="3" borderId="29" xfId="0" applyNumberFormat="1" applyFont="1" applyFill="1" applyBorder="1"/>
    <xf numFmtId="5" fontId="7" fillId="3" borderId="28" xfId="0" applyNumberFormat="1" applyFont="1" applyFill="1" applyBorder="1"/>
    <xf numFmtId="179" fontId="7" fillId="0" borderId="0" xfId="0" applyNumberFormat="1" applyFont="1"/>
    <xf numFmtId="172" fontId="7" fillId="3" borderId="32" xfId="0" applyNumberFormat="1" applyFont="1" applyFill="1" applyBorder="1"/>
    <xf numFmtId="0" fontId="7" fillId="3" borderId="33" xfId="0" applyFont="1" applyFill="1" applyBorder="1"/>
    <xf numFmtId="180" fontId="7" fillId="3" borderId="34" xfId="0" applyNumberFormat="1" applyFont="1" applyFill="1" applyBorder="1"/>
    <xf numFmtId="0" fontId="9" fillId="0" borderId="48" xfId="0" applyFont="1" applyBorder="1"/>
    <xf numFmtId="37" fontId="12" fillId="0" borderId="0" xfId="0" applyNumberFormat="1" applyFont="1"/>
    <xf numFmtId="37" fontId="9" fillId="3" borderId="10" xfId="0" applyNumberFormat="1" applyFont="1" applyFill="1" applyBorder="1"/>
    <xf numFmtId="0" fontId="12" fillId="0" borderId="0" xfId="0" applyFont="1"/>
    <xf numFmtId="37" fontId="7" fillId="0" borderId="33" xfId="0" applyNumberFormat="1" applyFont="1" applyBorder="1"/>
    <xf numFmtId="0" fontId="7" fillId="0" borderId="34" xfId="0" applyFont="1" applyBorder="1"/>
    <xf numFmtId="172" fontId="7" fillId="0" borderId="0" xfId="0" applyNumberFormat="1" applyFont="1"/>
    <xf numFmtId="180" fontId="7" fillId="0" borderId="0" xfId="0" applyNumberFormat="1" applyFont="1"/>
    <xf numFmtId="176" fontId="9" fillId="0" borderId="0" xfId="0" applyNumberFormat="1" applyFont="1" applyAlignment="1">
      <alignment horizontal="center"/>
    </xf>
    <xf numFmtId="176" fontId="9" fillId="0" borderId="28" xfId="0" applyNumberFormat="1" applyFont="1" applyBorder="1" applyAlignment="1">
      <alignment horizontal="center"/>
    </xf>
    <xf numFmtId="180" fontId="9" fillId="0" borderId="0" xfId="0" applyNumberFormat="1" applyFont="1"/>
    <xf numFmtId="165" fontId="9" fillId="0" borderId="0" xfId="0" applyNumberFormat="1" applyFont="1" applyAlignment="1">
      <alignment horizontal="right"/>
    </xf>
    <xf numFmtId="181" fontId="9" fillId="0" borderId="2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7" fillId="0" borderId="28" xfId="0" applyNumberFormat="1" applyFont="1" applyBorder="1" applyAlignment="1">
      <alignment horizontal="right"/>
    </xf>
    <xf numFmtId="164" fontId="7" fillId="0" borderId="33" xfId="0" applyNumberFormat="1" applyFont="1" applyBorder="1"/>
    <xf numFmtId="164" fontId="7" fillId="0" borderId="34" xfId="0" applyNumberFormat="1" applyFont="1" applyBorder="1"/>
    <xf numFmtId="172" fontId="7" fillId="0" borderId="29" xfId="0" applyNumberFormat="1" applyFont="1" applyBorder="1" applyAlignment="1">
      <alignment vertical="center"/>
    </xf>
    <xf numFmtId="172" fontId="7" fillId="0" borderId="0" xfId="0" applyNumberFormat="1" applyFont="1" applyAlignment="1">
      <alignment vertical="center"/>
    </xf>
    <xf numFmtId="173" fontId="21" fillId="0" borderId="28" xfId="0" applyNumberFormat="1" applyFont="1" applyBorder="1" applyAlignment="1">
      <alignment horizontal="right" vertical="center"/>
    </xf>
    <xf numFmtId="167" fontId="7" fillId="0" borderId="9" xfId="0" applyNumberFormat="1" applyFont="1" applyBorder="1"/>
    <xf numFmtId="172" fontId="14" fillId="0" borderId="0" xfId="0" applyNumberFormat="1" applyFont="1" applyAlignment="1">
      <alignment horizontal="center" vertical="center"/>
    </xf>
    <xf numFmtId="172" fontId="14" fillId="0" borderId="2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28" xfId="0" applyFont="1" applyBorder="1" applyAlignment="1">
      <alignment horizontal="center"/>
    </xf>
    <xf numFmtId="172" fontId="14" fillId="0" borderId="29" xfId="0" applyNumberFormat="1" applyFont="1" applyBorder="1" applyAlignment="1">
      <alignment vertical="center"/>
    </xf>
    <xf numFmtId="172" fontId="14" fillId="0" borderId="0" xfId="0" applyNumberFormat="1" applyFont="1" applyAlignment="1">
      <alignment vertical="center"/>
    </xf>
    <xf numFmtId="174" fontId="9" fillId="0" borderId="0" xfId="0" applyNumberFormat="1" applyFont="1" applyAlignment="1">
      <alignment horizontal="center" vertical="center"/>
    </xf>
    <xf numFmtId="172" fontId="9" fillId="0" borderId="0" xfId="0" applyNumberFormat="1" applyFont="1" applyAlignment="1">
      <alignment horizontal="center" vertical="center"/>
    </xf>
    <xf numFmtId="172" fontId="7" fillId="0" borderId="45" xfId="0" applyNumberFormat="1" applyFont="1" applyBorder="1" applyAlignment="1">
      <alignment vertical="center"/>
    </xf>
    <xf numFmtId="172" fontId="7" fillId="0" borderId="44" xfId="0" applyNumberFormat="1" applyFont="1" applyBorder="1" applyAlignment="1">
      <alignment vertical="center"/>
    </xf>
    <xf numFmtId="5" fontId="7" fillId="0" borderId="44" xfId="0" applyNumberFormat="1" applyFont="1" applyBorder="1" applyAlignment="1">
      <alignment horizontal="right" vertical="center"/>
    </xf>
    <xf numFmtId="164" fontId="7" fillId="0" borderId="44" xfId="0" applyNumberFormat="1" applyFont="1" applyBorder="1" applyAlignment="1">
      <alignment horizontal="center" vertical="center"/>
    </xf>
    <xf numFmtId="5" fontId="7" fillId="0" borderId="46" xfId="0" applyNumberFormat="1" applyFont="1" applyBorder="1" applyAlignment="1">
      <alignment horizontal="right" vertical="center"/>
    </xf>
    <xf numFmtId="5" fontId="7" fillId="0" borderId="25" xfId="0" applyNumberFormat="1" applyFont="1" applyBorder="1"/>
    <xf numFmtId="5" fontId="7" fillId="0" borderId="30" xfId="0" applyNumberFormat="1" applyFont="1" applyBorder="1"/>
    <xf numFmtId="37" fontId="7" fillId="0" borderId="39" xfId="0" applyNumberFormat="1" applyFont="1" applyBorder="1" applyAlignment="1">
      <alignment horizontal="right" vertical="center"/>
    </xf>
    <xf numFmtId="164" fontId="7" fillId="0" borderId="39" xfId="0" applyNumberFormat="1" applyFont="1" applyBorder="1" applyAlignment="1">
      <alignment horizontal="center" vertical="center"/>
    </xf>
    <xf numFmtId="37" fontId="7" fillId="0" borderId="40" xfId="0" applyNumberFormat="1" applyFont="1" applyBorder="1" applyAlignment="1">
      <alignment horizontal="right" vertical="center"/>
    </xf>
    <xf numFmtId="5" fontId="7" fillId="0" borderId="27" xfId="0" applyNumberFormat="1" applyFont="1" applyBorder="1"/>
    <xf numFmtId="0" fontId="9" fillId="3" borderId="41" xfId="0" applyFont="1" applyFill="1" applyBorder="1"/>
    <xf numFmtId="0" fontId="9" fillId="3" borderId="42" xfId="0" applyFont="1" applyFill="1" applyBorder="1"/>
    <xf numFmtId="5" fontId="9" fillId="3" borderId="33" xfId="0" applyNumberFormat="1" applyFont="1" applyFill="1" applyBorder="1"/>
    <xf numFmtId="5" fontId="9" fillId="3" borderId="34" xfId="0" applyNumberFormat="1" applyFont="1" applyFill="1" applyBorder="1"/>
    <xf numFmtId="172" fontId="7" fillId="0" borderId="39" xfId="0" applyNumberFormat="1" applyFont="1" applyBorder="1" applyAlignment="1">
      <alignment vertical="center"/>
    </xf>
    <xf numFmtId="172" fontId="7" fillId="0" borderId="8" xfId="0" applyNumberFormat="1" applyFont="1" applyBorder="1" applyAlignment="1">
      <alignment vertical="center"/>
    </xf>
    <xf numFmtId="172" fontId="7" fillId="0" borderId="27" xfId="0" applyNumberFormat="1" applyFont="1" applyBorder="1" applyAlignment="1">
      <alignment vertical="center"/>
    </xf>
    <xf numFmtId="37" fontId="7" fillId="0" borderId="9" xfId="0" applyNumberFormat="1" applyFont="1" applyBorder="1" applyAlignment="1">
      <alignment horizontal="right" vertical="center"/>
    </xf>
    <xf numFmtId="0" fontId="9" fillId="3" borderId="29" xfId="0" applyFont="1" applyFill="1" applyBorder="1" applyAlignment="1">
      <alignment vertical="center"/>
    </xf>
    <xf numFmtId="0" fontId="9" fillId="3" borderId="10" xfId="0" applyFont="1" applyFill="1" applyBorder="1" applyAlignment="1">
      <alignment vertical="center"/>
    </xf>
    <xf numFmtId="5" fontId="9" fillId="3" borderId="10" xfId="0" applyNumberFormat="1" applyFont="1" applyFill="1" applyBorder="1" applyAlignment="1">
      <alignment horizontal="right" vertical="center"/>
    </xf>
    <xf numFmtId="164" fontId="9" fillId="3" borderId="10" xfId="0" applyNumberFormat="1" applyFont="1" applyFill="1" applyBorder="1" applyAlignment="1">
      <alignment horizontal="center" vertical="center"/>
    </xf>
    <xf numFmtId="5" fontId="9" fillId="3" borderId="28" xfId="0" applyNumberFormat="1" applyFont="1" applyFill="1" applyBorder="1" applyAlignment="1">
      <alignment horizontal="right" vertical="center"/>
    </xf>
    <xf numFmtId="37" fontId="7" fillId="0" borderId="0" xfId="0" applyNumberFormat="1" applyFont="1" applyAlignment="1">
      <alignment vertical="center"/>
    </xf>
    <xf numFmtId="172" fontId="7" fillId="0" borderId="0" xfId="0" applyNumberFormat="1" applyFont="1" applyAlignment="1">
      <alignment horizontal="center" vertical="center"/>
    </xf>
    <xf numFmtId="172" fontId="7" fillId="0" borderId="28" xfId="0" applyNumberFormat="1" applyFont="1" applyBorder="1" applyAlignment="1">
      <alignment vertical="center"/>
    </xf>
    <xf numFmtId="164" fontId="7" fillId="0" borderId="9" xfId="0" applyNumberFormat="1" applyFont="1" applyBorder="1"/>
    <xf numFmtId="172" fontId="7" fillId="0" borderId="24" xfId="0" applyNumberFormat="1" applyFont="1" applyBorder="1" applyAlignment="1">
      <alignment vertical="center"/>
    </xf>
    <xf numFmtId="172" fontId="7" fillId="0" borderId="25" xfId="0" applyNumberFormat="1" applyFont="1" applyBorder="1" applyAlignment="1">
      <alignment vertical="center"/>
    </xf>
    <xf numFmtId="37" fontId="7" fillId="0" borderId="25" xfId="0" applyNumberFormat="1" applyFont="1" applyBorder="1" applyAlignment="1">
      <alignment horizontal="right" vertical="center"/>
    </xf>
    <xf numFmtId="164" fontId="7" fillId="0" borderId="25" xfId="0" applyNumberFormat="1" applyFont="1" applyBorder="1" applyAlignment="1">
      <alignment horizontal="center" vertical="center"/>
    </xf>
    <xf numFmtId="37" fontId="7" fillId="0" borderId="30" xfId="0" applyNumberFormat="1" applyFont="1" applyBorder="1" applyAlignment="1">
      <alignment horizontal="right" vertical="center"/>
    </xf>
    <xf numFmtId="5" fontId="7" fillId="0" borderId="36" xfId="0" applyNumberFormat="1" applyFont="1" applyBorder="1"/>
    <xf numFmtId="37" fontId="7" fillId="0" borderId="27" xfId="0" applyNumberFormat="1" applyFont="1" applyBorder="1" applyAlignment="1">
      <alignment horizontal="right" vertical="center"/>
    </xf>
    <xf numFmtId="164" fontId="7" fillId="0" borderId="27" xfId="0" applyNumberFormat="1" applyFont="1" applyBorder="1" applyAlignment="1">
      <alignment horizontal="center" vertical="center"/>
    </xf>
    <xf numFmtId="5" fontId="7" fillId="0" borderId="9" xfId="0" applyNumberFormat="1" applyFont="1" applyBorder="1" applyAlignment="1">
      <alignment horizontal="right"/>
    </xf>
    <xf numFmtId="5" fontId="7" fillId="0" borderId="9" xfId="0" applyNumberFormat="1" applyFont="1" applyBorder="1" applyAlignment="1">
      <alignment horizontal="right" vertical="center"/>
    </xf>
    <xf numFmtId="170" fontId="7" fillId="0" borderId="9" xfId="0" applyNumberFormat="1" applyFont="1" applyBorder="1" applyAlignment="1">
      <alignment horizontal="right"/>
    </xf>
    <xf numFmtId="0" fontId="9" fillId="3" borderId="41" xfId="0" applyFont="1" applyFill="1" applyBorder="1" applyAlignment="1">
      <alignment vertical="center"/>
    </xf>
    <xf numFmtId="0" fontId="9" fillId="3" borderId="42" xfId="0" applyFont="1" applyFill="1" applyBorder="1" applyAlignment="1">
      <alignment vertical="center"/>
    </xf>
    <xf numFmtId="5" fontId="9" fillId="3" borderId="42" xfId="0" applyNumberFormat="1" applyFont="1" applyFill="1" applyBorder="1" applyAlignment="1">
      <alignment horizontal="right" vertical="center"/>
    </xf>
    <xf numFmtId="164" fontId="9" fillId="3" borderId="42" xfId="0" applyNumberFormat="1" applyFont="1" applyFill="1" applyBorder="1" applyAlignment="1">
      <alignment horizontal="center" vertical="center"/>
    </xf>
    <xf numFmtId="5" fontId="9" fillId="3" borderId="43" xfId="0" applyNumberFormat="1" applyFont="1" applyFill="1" applyBorder="1" applyAlignment="1">
      <alignment horizontal="right" vertical="center"/>
    </xf>
    <xf numFmtId="37" fontId="7" fillId="0" borderId="9" xfId="0" applyNumberFormat="1" applyFont="1" applyBorder="1" applyAlignment="1">
      <alignment horizontal="right"/>
    </xf>
    <xf numFmtId="165" fontId="7" fillId="0" borderId="36" xfId="0" applyNumberFormat="1" applyFont="1" applyBorder="1"/>
    <xf numFmtId="175" fontId="7" fillId="0" borderId="44" xfId="0" applyNumberFormat="1" applyFont="1" applyBorder="1" applyAlignment="1">
      <alignment horizontal="center" vertical="center"/>
    </xf>
    <xf numFmtId="165" fontId="7" fillId="0" borderId="46" xfId="0" applyNumberFormat="1" applyFont="1" applyBorder="1" applyAlignment="1">
      <alignment horizontal="center" vertical="center"/>
    </xf>
    <xf numFmtId="172" fontId="9" fillId="4" borderId="45" xfId="0" applyNumberFormat="1" applyFont="1" applyFill="1" applyBorder="1" applyAlignment="1">
      <alignment vertical="center"/>
    </xf>
    <xf numFmtId="175" fontId="9" fillId="4" borderId="44" xfId="0" applyNumberFormat="1" applyFont="1" applyFill="1" applyBorder="1" applyAlignment="1">
      <alignment horizontal="center" vertical="center"/>
    </xf>
    <xf numFmtId="5" fontId="9" fillId="4" borderId="44" xfId="0" applyNumberFormat="1" applyFont="1" applyFill="1" applyBorder="1" applyAlignment="1">
      <alignment horizontal="right" vertical="center"/>
    </xf>
    <xf numFmtId="165" fontId="9" fillId="4" borderId="46" xfId="0" applyNumberFormat="1" applyFont="1" applyFill="1" applyBorder="1" applyAlignment="1">
      <alignment horizontal="center" vertical="center"/>
    </xf>
    <xf numFmtId="172" fontId="7" fillId="0" borderId="32" xfId="0" applyNumberFormat="1" applyFont="1" applyBorder="1" applyAlignment="1">
      <alignment vertical="center"/>
    </xf>
    <xf numFmtId="175" fontId="7" fillId="0" borderId="33" xfId="0" applyNumberFormat="1" applyFont="1" applyBorder="1" applyAlignment="1">
      <alignment horizontal="center" vertical="center"/>
    </xf>
    <xf numFmtId="5" fontId="7" fillId="0" borderId="33" xfId="0" applyNumberFormat="1" applyFont="1" applyBorder="1" applyAlignment="1">
      <alignment horizontal="right" vertical="center"/>
    </xf>
    <xf numFmtId="165" fontId="7" fillId="0" borderId="34" xfId="0" applyNumberFormat="1" applyFont="1" applyBorder="1" applyAlignment="1">
      <alignment horizontal="center" vertical="center"/>
    </xf>
    <xf numFmtId="5" fontId="7" fillId="0" borderId="9" xfId="0" applyNumberFormat="1" applyFont="1" applyBorder="1"/>
    <xf numFmtId="37" fontId="7" fillId="0" borderId="36" xfId="0" applyNumberFormat="1" applyFont="1" applyBorder="1" applyAlignment="1">
      <alignment horizontal="right"/>
    </xf>
    <xf numFmtId="172" fontId="14" fillId="0" borderId="29" xfId="0" applyNumberFormat="1" applyFont="1" applyBorder="1" applyAlignment="1">
      <alignment horizontal="center" vertical="center"/>
    </xf>
    <xf numFmtId="171" fontId="7" fillId="0" borderId="24" xfId="0" applyNumberFormat="1" applyFont="1" applyBorder="1" applyAlignment="1">
      <alignment horizontal="center"/>
    </xf>
    <xf numFmtId="14" fontId="7" fillId="0" borderId="25" xfId="0" applyNumberFormat="1" applyFont="1" applyBorder="1" applyAlignment="1">
      <alignment horizontal="center"/>
    </xf>
    <xf numFmtId="37" fontId="7" fillId="0" borderId="25" xfId="0" applyNumberFormat="1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164" fontId="7" fillId="0" borderId="25" xfId="0" applyNumberFormat="1" applyFont="1" applyBorder="1" applyAlignment="1">
      <alignment horizontal="center"/>
    </xf>
    <xf numFmtId="164" fontId="7" fillId="0" borderId="30" xfId="0" applyNumberFormat="1" applyFont="1" applyBorder="1" applyAlignment="1">
      <alignment horizontal="center"/>
    </xf>
    <xf numFmtId="14" fontId="7" fillId="0" borderId="27" xfId="0" applyNumberFormat="1" applyFont="1" applyBorder="1" applyAlignment="1">
      <alignment horizontal="center"/>
    </xf>
    <xf numFmtId="37" fontId="7" fillId="0" borderId="27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37" fontId="7" fillId="0" borderId="43" xfId="0" applyNumberFormat="1" applyFont="1" applyBorder="1" applyAlignment="1">
      <alignment horizontal="right"/>
    </xf>
    <xf numFmtId="171" fontId="7" fillId="0" borderId="32" xfId="0" applyNumberFormat="1" applyFont="1" applyBorder="1" applyAlignment="1">
      <alignment horizontal="center"/>
    </xf>
    <xf numFmtId="14" fontId="7" fillId="0" borderId="42" xfId="0" applyNumberFormat="1" applyFont="1" applyBorder="1" applyAlignment="1">
      <alignment horizontal="center"/>
    </xf>
    <xf numFmtId="37" fontId="7" fillId="0" borderId="42" xfId="0" applyNumberFormat="1" applyFont="1" applyBorder="1" applyAlignment="1">
      <alignment horizontal="center"/>
    </xf>
    <xf numFmtId="164" fontId="7" fillId="0" borderId="43" xfId="0" applyNumberFormat="1" applyFont="1" applyBorder="1" applyAlignment="1">
      <alignment horizontal="center"/>
    </xf>
    <xf numFmtId="37" fontId="7" fillId="0" borderId="10" xfId="0" applyNumberFormat="1" applyFont="1" applyBorder="1" applyProtection="1">
      <protection locked="0"/>
    </xf>
    <xf numFmtId="164" fontId="7" fillId="0" borderId="10" xfId="0" applyNumberFormat="1" applyFont="1" applyBorder="1" applyProtection="1">
      <protection locked="0"/>
    </xf>
    <xf numFmtId="37" fontId="11" fillId="0" borderId="10" xfId="0" applyNumberFormat="1" applyFont="1" applyBorder="1" applyProtection="1">
      <protection locked="0"/>
    </xf>
    <xf numFmtId="0" fontId="7" fillId="0" borderId="10" xfId="0" applyFont="1" applyBorder="1" applyProtection="1">
      <protection locked="0"/>
    </xf>
    <xf numFmtId="5" fontId="7" fillId="0" borderId="44" xfId="0" applyNumberFormat="1" applyFont="1" applyBorder="1" applyAlignment="1" applyProtection="1">
      <alignment horizontal="right" vertical="center"/>
      <protection locked="0"/>
    </xf>
    <xf numFmtId="5" fontId="9" fillId="0" borderId="44" xfId="0" applyNumberFormat="1" applyFont="1" applyBorder="1" applyAlignment="1" applyProtection="1">
      <alignment horizontal="right" vertical="center"/>
      <protection locked="0"/>
    </xf>
    <xf numFmtId="5" fontId="7" fillId="0" borderId="33" xfId="0" applyNumberFormat="1" applyFont="1" applyBorder="1" applyAlignment="1" applyProtection="1">
      <alignment horizontal="right" vertical="center"/>
      <protection locked="0"/>
    </xf>
    <xf numFmtId="37" fontId="7" fillId="0" borderId="27" xfId="0" applyNumberFormat="1" applyFont="1" applyBorder="1" applyAlignment="1" applyProtection="1">
      <alignment horizontal="right" vertical="center"/>
      <protection locked="0"/>
    </xf>
    <xf numFmtId="164" fontId="7" fillId="0" borderId="27" xfId="0" applyNumberFormat="1" applyFont="1" applyBorder="1" applyAlignment="1" applyProtection="1">
      <alignment horizontal="center" vertical="center"/>
      <protection locked="0"/>
    </xf>
    <xf numFmtId="5" fontId="9" fillId="0" borderId="10" xfId="0" applyNumberFormat="1" applyFont="1" applyBorder="1" applyProtection="1">
      <protection locked="0"/>
    </xf>
    <xf numFmtId="5" fontId="7" fillId="0" borderId="28" xfId="0" applyNumberFormat="1" applyFont="1" applyBorder="1" applyProtection="1">
      <protection locked="0"/>
    </xf>
    <xf numFmtId="178" fontId="7" fillId="0" borderId="28" xfId="0" applyNumberFormat="1" applyFont="1" applyBorder="1" applyProtection="1">
      <protection locked="0"/>
    </xf>
    <xf numFmtId="184" fontId="7" fillId="0" borderId="10" xfId="0" applyNumberFormat="1" applyFont="1" applyBorder="1" applyAlignment="1" applyProtection="1">
      <alignment horizontal="center"/>
      <protection locked="0"/>
    </xf>
    <xf numFmtId="184" fontId="7" fillId="0" borderId="58" xfId="0" applyNumberFormat="1" applyFont="1" applyBorder="1" applyAlignment="1" applyProtection="1">
      <alignment horizontal="center"/>
      <protection locked="0"/>
    </xf>
    <xf numFmtId="184" fontId="7" fillId="0" borderId="10" xfId="0" applyNumberFormat="1" applyFont="1" applyBorder="1" applyAlignment="1" applyProtection="1">
      <alignment horizontal="right"/>
      <protection locked="0"/>
    </xf>
    <xf numFmtId="184" fontId="7" fillId="0" borderId="10" xfId="0" applyNumberFormat="1" applyFont="1" applyBorder="1" applyProtection="1">
      <protection locked="0"/>
    </xf>
    <xf numFmtId="184" fontId="7" fillId="0" borderId="56" xfId="0" applyNumberFormat="1" applyFont="1" applyBorder="1" applyAlignment="1" applyProtection="1">
      <alignment horizontal="center"/>
      <protection locked="0"/>
    </xf>
    <xf numFmtId="0" fontId="37" fillId="0" borderId="1" xfId="0" applyFont="1" applyBorder="1"/>
    <xf numFmtId="0" fontId="9" fillId="0" borderId="5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/>
    <xf numFmtId="0" fontId="15" fillId="0" borderId="28" xfId="0" applyFont="1" applyBorder="1"/>
    <xf numFmtId="0" fontId="9" fillId="0" borderId="61" xfId="0" applyFont="1" applyBorder="1" applyAlignment="1">
      <alignment horizontal="center"/>
    </xf>
    <xf numFmtId="0" fontId="15" fillId="0" borderId="62" xfId="0" applyFont="1" applyBorder="1"/>
    <xf numFmtId="0" fontId="9" fillId="0" borderId="57" xfId="0" applyFont="1" applyBorder="1" applyAlignment="1">
      <alignment horizontal="center"/>
    </xf>
    <xf numFmtId="0" fontId="15" fillId="0" borderId="59" xfId="0" applyFont="1" applyBorder="1"/>
  </cellXfs>
  <cellStyles count="1">
    <cellStyle name="Normal" xfId="0" builtinId="0"/>
  </cellStyles>
  <dxfs count="9">
    <dxf>
      <font>
        <b/>
      </font>
      <fill>
        <patternFill patternType="solid">
          <fgColor rgb="FFD6DCE4"/>
          <bgColor rgb="FFD6DCE4"/>
        </patternFill>
      </fill>
    </dxf>
    <dxf>
      <font>
        <b/>
      </font>
      <fill>
        <patternFill patternType="solid">
          <fgColor rgb="FFD6DCE4"/>
          <bgColor rgb="FFD6DCE4"/>
        </patternFill>
      </fill>
    </dxf>
    <dxf>
      <font>
        <b/>
      </font>
      <fill>
        <patternFill patternType="solid">
          <fgColor rgb="FFD6DCE4"/>
          <bgColor rgb="FFD6DCE4"/>
        </patternFill>
      </fill>
    </dxf>
    <dxf>
      <font>
        <b/>
      </font>
      <fill>
        <patternFill patternType="solid">
          <fgColor rgb="FFD6DCE4"/>
          <bgColor rgb="FFD6DCE4"/>
        </patternFill>
      </fill>
    </dxf>
    <dxf>
      <font>
        <b/>
      </font>
      <fill>
        <patternFill patternType="solid">
          <fgColor rgb="FFD6DCE4"/>
          <bgColor rgb="FFD6DCE4"/>
        </patternFill>
      </fill>
    </dxf>
    <dxf>
      <font>
        <b/>
      </font>
      <fill>
        <patternFill patternType="solid">
          <fgColor rgb="FFD6DCE4"/>
          <bgColor rgb="FFD6DCE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285747</xdr:colOff>
      <xdr:row>0</xdr:row>
      <xdr:rowOff>0</xdr:rowOff>
    </xdr:from>
    <xdr:to>
      <xdr:col>18</xdr:col>
      <xdr:colOff>795617</xdr:colOff>
      <xdr:row>2</xdr:row>
      <xdr:rowOff>1526720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35482" y="0"/>
          <a:ext cx="2739841" cy="20758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857249</xdr:colOff>
      <xdr:row>0</xdr:row>
      <xdr:rowOff>28575</xdr:rowOff>
    </xdr:from>
    <xdr:to>
      <xdr:col>8</xdr:col>
      <xdr:colOff>285750</xdr:colOff>
      <xdr:row>2</xdr:row>
      <xdr:rowOff>1576465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33949" y="28575"/>
          <a:ext cx="2514601" cy="19860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28575</xdr:colOff>
      <xdr:row>0</xdr:row>
      <xdr:rowOff>15699</xdr:rowOff>
    </xdr:from>
    <xdr:to>
      <xdr:col>9</xdr:col>
      <xdr:colOff>227469</xdr:colOff>
      <xdr:row>2</xdr:row>
      <xdr:rowOff>1381125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5699"/>
          <a:ext cx="2141994" cy="17940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2572310</xdr:colOff>
      <xdr:row>0</xdr:row>
      <xdr:rowOff>121022</xdr:rowOff>
    </xdr:from>
    <xdr:to>
      <xdr:col>5</xdr:col>
      <xdr:colOff>78465</xdr:colOff>
      <xdr:row>2</xdr:row>
      <xdr:rowOff>1759324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74869" y="121022"/>
          <a:ext cx="2649655" cy="19968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819150</xdr:colOff>
      <xdr:row>0</xdr:row>
      <xdr:rowOff>47624</xdr:rowOff>
    </xdr:from>
    <xdr:to>
      <xdr:col>4</xdr:col>
      <xdr:colOff>283899</xdr:colOff>
      <xdr:row>0</xdr:row>
      <xdr:rowOff>1828799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47624"/>
          <a:ext cx="2169849" cy="1781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00"/>
  <sheetViews>
    <sheetView showGridLines="0" topLeftCell="A4" zoomScale="85" zoomScaleNormal="85" workbookViewId="0">
      <selection activeCell="C47" sqref="C47"/>
    </sheetView>
  </sheetViews>
  <sheetFormatPr defaultColWidth="14.453125" defaultRowHeight="15" customHeight="1" x14ac:dyDescent="0.35"/>
  <cols>
    <col min="1" max="1" width="4.54296875" style="8" customWidth="1"/>
    <col min="2" max="2" width="32.81640625" customWidth="1"/>
    <col min="3" max="7" width="11.54296875" customWidth="1"/>
    <col min="8" max="8" width="14" customWidth="1"/>
    <col min="9" max="9" width="11.54296875" customWidth="1"/>
    <col min="10" max="10" width="16.453125" customWidth="1"/>
    <col min="11" max="11" width="11.54296875" customWidth="1"/>
    <col min="13" max="14" width="11.54296875" customWidth="1"/>
    <col min="15" max="15" width="5.54296875" customWidth="1"/>
    <col min="16" max="16" width="2.54296875" customWidth="1"/>
    <col min="17" max="17" width="8.81640625" customWidth="1"/>
    <col min="18" max="18" width="16.453125" customWidth="1"/>
    <col min="19" max="23" width="30.54296875" customWidth="1"/>
    <col min="24" max="24" width="2.54296875" customWidth="1"/>
    <col min="25" max="28" width="8.81640625" customWidth="1"/>
    <col min="29" max="29" width="15.81640625" customWidth="1"/>
    <col min="30" max="32" width="8.81640625" customWidth="1"/>
    <col min="33" max="33" width="12.54296875" customWidth="1"/>
  </cols>
  <sheetData>
    <row r="1" spans="1:33" ht="30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2"/>
      <c r="R1" s="2"/>
      <c r="S1" s="2"/>
      <c r="T1" s="2"/>
      <c r="U1" s="2"/>
      <c r="V1" s="2"/>
      <c r="W1" s="3"/>
      <c r="X1" s="5"/>
      <c r="Y1" s="5"/>
      <c r="Z1" s="5"/>
      <c r="AA1" s="5"/>
      <c r="AB1" s="6"/>
      <c r="AC1" s="6"/>
      <c r="AD1" s="6"/>
      <c r="AE1" s="5"/>
      <c r="AF1" s="5"/>
      <c r="AG1" s="5"/>
    </row>
    <row r="2" spans="1:33" ht="12.75" customHeight="1" x14ac:dyDescent="0.35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7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E2" s="8"/>
      <c r="AF2" s="8"/>
      <c r="AG2" s="8"/>
    </row>
    <row r="3" spans="1:33" ht="129" customHeight="1" x14ac:dyDescent="0.3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E3" s="8"/>
      <c r="AF3" s="8"/>
      <c r="AG3" s="8"/>
    </row>
    <row r="4" spans="1:33" ht="12.75" customHeight="1" x14ac:dyDescent="0.35">
      <c r="B4" s="9" t="s">
        <v>2</v>
      </c>
      <c r="C4" s="10"/>
      <c r="D4" s="10"/>
      <c r="E4" s="10"/>
      <c r="F4" s="11"/>
      <c r="G4" s="8"/>
      <c r="H4" s="12" t="s">
        <v>3</v>
      </c>
      <c r="I4" s="13"/>
      <c r="J4" s="13"/>
      <c r="K4" s="13"/>
      <c r="L4" s="14"/>
      <c r="M4" s="8"/>
      <c r="N4" s="8"/>
      <c r="O4" s="8"/>
      <c r="P4" s="8"/>
      <c r="Q4" s="9" t="s">
        <v>4</v>
      </c>
      <c r="R4" s="10"/>
      <c r="S4" s="10"/>
      <c r="T4" s="10"/>
      <c r="U4" s="10"/>
      <c r="V4" s="10"/>
      <c r="W4" s="11"/>
      <c r="X4" s="8"/>
      <c r="Z4" s="8"/>
      <c r="AA4" s="8"/>
      <c r="AE4" s="8"/>
      <c r="AF4" s="8"/>
      <c r="AG4" s="8"/>
    </row>
    <row r="5" spans="1:33" ht="12.75" customHeight="1" x14ac:dyDescent="0.35">
      <c r="B5" s="15" t="s">
        <v>5</v>
      </c>
      <c r="C5" s="87" t="e">
        <f>Waterfall!C114</f>
        <v>#NUM!</v>
      </c>
      <c r="D5" s="88" t="s">
        <v>6</v>
      </c>
      <c r="E5" s="89"/>
      <c r="F5" s="16" t="e">
        <f>Waterfall!C121</f>
        <v>#NUM!</v>
      </c>
      <c r="G5" s="8"/>
      <c r="H5" s="90" t="s">
        <v>7</v>
      </c>
      <c r="I5" s="151">
        <v>0.3</v>
      </c>
      <c r="J5" s="433">
        <f>I5*'Annual Cash Flows'!E117</f>
        <v>5739243.906309464</v>
      </c>
      <c r="K5" s="17"/>
      <c r="L5" s="91"/>
      <c r="M5" s="8"/>
      <c r="N5" s="8"/>
      <c r="O5" s="8"/>
      <c r="P5" s="8"/>
      <c r="Q5" s="92"/>
      <c r="R5" s="8"/>
      <c r="S5" s="8"/>
      <c r="T5" s="8"/>
      <c r="U5" s="8"/>
      <c r="V5" s="8"/>
      <c r="W5" s="93"/>
      <c r="X5" s="8"/>
      <c r="Z5" s="8"/>
      <c r="AA5" s="8"/>
      <c r="AE5" s="8"/>
      <c r="AF5" s="8"/>
      <c r="AG5" s="8"/>
    </row>
    <row r="6" spans="1:33" ht="12.75" customHeight="1" x14ac:dyDescent="0.35">
      <c r="B6" s="15" t="s">
        <v>8</v>
      </c>
      <c r="C6" s="94">
        <f>Waterfall!C117</f>
        <v>0</v>
      </c>
      <c r="D6" s="88" t="s">
        <v>9</v>
      </c>
      <c r="E6" s="95"/>
      <c r="F6" s="18">
        <f>Waterfall!C124</f>
        <v>0</v>
      </c>
      <c r="G6" s="8"/>
      <c r="H6" s="90" t="s">
        <v>10</v>
      </c>
      <c r="I6" s="434">
        <f>1-I5</f>
        <v>0.7</v>
      </c>
      <c r="J6" s="435">
        <f>'Annual Cash Flows'!E117-J5</f>
        <v>13391569.114722084</v>
      </c>
      <c r="K6" s="17"/>
      <c r="L6" s="96"/>
      <c r="M6" s="8"/>
      <c r="N6" s="8"/>
      <c r="O6" s="8"/>
      <c r="P6" s="8"/>
      <c r="Q6" s="97" t="s">
        <v>11</v>
      </c>
      <c r="R6" s="19" t="s">
        <v>12</v>
      </c>
      <c r="S6" s="436"/>
      <c r="T6" s="8"/>
      <c r="U6" s="8"/>
      <c r="V6" s="8"/>
      <c r="W6" s="93"/>
      <c r="X6" s="8"/>
      <c r="Z6" s="8"/>
      <c r="AA6" s="98" t="s">
        <v>13</v>
      </c>
      <c r="AB6" s="20"/>
      <c r="AC6" s="20" t="s">
        <v>14</v>
      </c>
      <c r="AE6" s="8"/>
      <c r="AF6" s="8"/>
      <c r="AG6" s="8"/>
    </row>
    <row r="7" spans="1:33" ht="12.75" customHeight="1" x14ac:dyDescent="0.35">
      <c r="B7" s="99"/>
      <c r="C7" s="100"/>
      <c r="D7" s="101" t="s">
        <v>15</v>
      </c>
      <c r="E7" s="100"/>
      <c r="F7" s="102">
        <f>Waterfall!C140</f>
        <v>0</v>
      </c>
      <c r="G7" s="8"/>
      <c r="H7" s="90"/>
      <c r="I7" s="8"/>
      <c r="J7" s="21">
        <f>SUM(J5:J6)</f>
        <v>19130813.021031547</v>
      </c>
      <c r="K7" s="8"/>
      <c r="L7" s="103"/>
      <c r="M7" s="8"/>
      <c r="N7" s="8"/>
      <c r="O7" s="8"/>
      <c r="P7" s="8"/>
      <c r="Q7" s="104" t="s">
        <v>16</v>
      </c>
      <c r="R7" s="354" t="s">
        <v>17</v>
      </c>
      <c r="S7" s="452" t="s">
        <v>18</v>
      </c>
      <c r="T7" s="453"/>
      <c r="U7" s="453"/>
      <c r="V7" s="453"/>
      <c r="W7" s="454"/>
      <c r="X7" s="8"/>
      <c r="Z7" s="8"/>
      <c r="AA7" s="22" t="s">
        <v>19</v>
      </c>
      <c r="AC7" s="22" t="s">
        <v>19</v>
      </c>
      <c r="AE7" s="8"/>
      <c r="AF7" s="8"/>
      <c r="AG7" s="8"/>
    </row>
    <row r="8" spans="1:33" ht="12.75" customHeight="1" x14ac:dyDescent="0.35">
      <c r="B8" s="8"/>
      <c r="C8" s="8"/>
      <c r="D8" s="8"/>
      <c r="E8" s="8"/>
      <c r="F8" s="8"/>
      <c r="G8" s="8"/>
      <c r="H8" s="23"/>
      <c r="I8" s="105"/>
      <c r="J8" s="105"/>
      <c r="K8" s="105"/>
      <c r="L8" s="24"/>
      <c r="M8" s="8"/>
      <c r="N8" s="8"/>
      <c r="O8" s="8"/>
      <c r="P8" s="8"/>
      <c r="Q8" s="92"/>
      <c r="R8" s="25" t="e">
        <f>+TEXT(Summary!D29,"0.0%")&amp;" | "&amp;TEXT(Summary!E29/1000000,"$#,##0.0")&amp;" | "&amp;TEXT(Summary!F29,"0.0x")</f>
        <v>#NUM!</v>
      </c>
      <c r="S8" s="176">
        <v>7.0000000000000007E-2</v>
      </c>
      <c r="T8" s="26">
        <f t="shared" ref="T8:W8" si="0">+S8+$AA$8</f>
        <v>7.5000000000000011E-2</v>
      </c>
      <c r="U8" s="26">
        <f t="shared" si="0"/>
        <v>8.0000000000000016E-2</v>
      </c>
      <c r="V8" s="26">
        <f t="shared" si="0"/>
        <v>8.500000000000002E-2</v>
      </c>
      <c r="W8" s="106">
        <f t="shared" si="0"/>
        <v>9.0000000000000024E-2</v>
      </c>
      <c r="X8" s="8"/>
      <c r="Z8" s="8"/>
      <c r="AA8" s="182">
        <v>5.0000000000000001E-3</v>
      </c>
      <c r="AC8" s="183">
        <v>1500000</v>
      </c>
      <c r="AE8" s="8"/>
      <c r="AF8" s="8"/>
      <c r="AG8" s="8"/>
    </row>
    <row r="9" spans="1:33" ht="12.75" customHeight="1" x14ac:dyDescent="0.35">
      <c r="B9" s="8"/>
      <c r="C9" s="8"/>
      <c r="D9" s="8"/>
      <c r="E9" s="8"/>
      <c r="F9" s="8"/>
      <c r="G9" s="8"/>
      <c r="H9" s="90" t="s">
        <v>20</v>
      </c>
      <c r="I9" s="8"/>
      <c r="J9" s="152">
        <v>0.1</v>
      </c>
      <c r="K9" s="98" t="s">
        <v>21</v>
      </c>
      <c r="L9" s="107" t="s">
        <v>22</v>
      </c>
      <c r="M9" s="8"/>
      <c r="N9" s="8"/>
      <c r="O9" s="8"/>
      <c r="P9" s="8"/>
      <c r="Q9" s="108">
        <f>+'Annual Cash Flows'!$H$61/Inputs!R9</f>
        <v>-7.0432691859838262E-2</v>
      </c>
      <c r="R9" s="175">
        <v>8750000</v>
      </c>
      <c r="S9" s="27" t="s">
        <v>23</v>
      </c>
      <c r="T9" s="28" t="s">
        <v>24</v>
      </c>
      <c r="U9" s="28" t="s">
        <v>25</v>
      </c>
      <c r="V9" s="28" t="s">
        <v>26</v>
      </c>
      <c r="W9" s="29" t="s">
        <v>27</v>
      </c>
      <c r="X9" s="8"/>
      <c r="Z9" s="8"/>
      <c r="AA9" s="8"/>
      <c r="AE9" s="8"/>
      <c r="AF9" s="8"/>
      <c r="AG9" s="8"/>
    </row>
    <row r="10" spans="1:33" ht="12.75" customHeight="1" x14ac:dyDescent="0.35">
      <c r="B10" s="8"/>
      <c r="C10" s="8"/>
      <c r="D10" s="8"/>
      <c r="E10" s="8"/>
      <c r="F10" s="8"/>
      <c r="G10" s="8"/>
      <c r="H10" s="90"/>
      <c r="I10" s="8"/>
      <c r="J10" s="30"/>
      <c r="K10" s="98" t="s">
        <v>28</v>
      </c>
      <c r="L10" s="107" t="s">
        <v>29</v>
      </c>
      <c r="M10" s="8"/>
      <c r="N10" s="8"/>
      <c r="O10" s="8"/>
      <c r="P10" s="8"/>
      <c r="Q10" s="108">
        <f>+'Annual Cash Flows'!$H$61/Inputs!R10</f>
        <v>-6.0125468660837539E-2</v>
      </c>
      <c r="R10" s="31">
        <f t="shared" ref="R10:R13" si="1">+R9+$AC$8</f>
        <v>10250000</v>
      </c>
      <c r="S10" s="32" t="s">
        <v>30</v>
      </c>
      <c r="T10" s="33" t="s">
        <v>31</v>
      </c>
      <c r="U10" s="33" t="s">
        <v>32</v>
      </c>
      <c r="V10" s="33" t="s">
        <v>33</v>
      </c>
      <c r="W10" s="34" t="s">
        <v>34</v>
      </c>
      <c r="X10" s="8"/>
      <c r="Z10" s="8"/>
      <c r="AA10" s="8"/>
      <c r="AE10" s="8"/>
      <c r="AF10" s="8"/>
      <c r="AG10" s="8"/>
    </row>
    <row r="11" spans="1:33" ht="12.75" customHeight="1" x14ac:dyDescent="0.35">
      <c r="B11" s="8"/>
      <c r="C11" s="8"/>
      <c r="D11" s="8"/>
      <c r="E11" s="8"/>
      <c r="F11" s="8"/>
      <c r="G11" s="8"/>
      <c r="H11" s="90" t="str">
        <f>"from a "&amp;TEXT(J9,"0.0%")&amp;" IRR"</f>
        <v>from a 10.0% IRR</v>
      </c>
      <c r="I11" s="8"/>
      <c r="J11" s="153">
        <v>0.15</v>
      </c>
      <c r="K11" s="152">
        <v>0.4</v>
      </c>
      <c r="L11" s="109">
        <f t="shared" ref="L11:L13" si="2">1-K11</f>
        <v>0.6</v>
      </c>
      <c r="M11" s="8"/>
      <c r="N11" s="8"/>
      <c r="O11" s="8"/>
      <c r="P11" s="8"/>
      <c r="Q11" s="108">
        <f>+'Annual Cash Flows'!$H$61/Inputs!R11</f>
        <v>-5.2449876916900832E-2</v>
      </c>
      <c r="R11" s="31">
        <f t="shared" si="1"/>
        <v>11750000</v>
      </c>
      <c r="S11" s="32" t="s">
        <v>35</v>
      </c>
      <c r="T11" s="33" t="s">
        <v>36</v>
      </c>
      <c r="U11" s="33" t="s">
        <v>37</v>
      </c>
      <c r="V11" s="33" t="s">
        <v>38</v>
      </c>
      <c r="W11" s="34" t="s">
        <v>39</v>
      </c>
      <c r="X11" s="8"/>
      <c r="Z11" s="8"/>
      <c r="AA11" s="8"/>
      <c r="AE11" s="8"/>
      <c r="AF11" s="8"/>
      <c r="AG11" s="8"/>
    </row>
    <row r="12" spans="1:33" ht="12.75" customHeight="1" x14ac:dyDescent="0.35">
      <c r="B12" s="8"/>
      <c r="C12" s="8"/>
      <c r="D12" s="8"/>
      <c r="E12" s="8"/>
      <c r="F12" s="8"/>
      <c r="G12" s="8"/>
      <c r="H12" s="110" t="str">
        <f>"from a "&amp;TEXT(J11,"0.0%")&amp;" IRR"</f>
        <v>from a 15.0% IRR</v>
      </c>
      <c r="I12" s="8"/>
      <c r="J12" s="153">
        <v>0.2</v>
      </c>
      <c r="K12" s="152">
        <v>0.5</v>
      </c>
      <c r="L12" s="109">
        <f t="shared" si="2"/>
        <v>0.5</v>
      </c>
      <c r="M12" s="8"/>
      <c r="N12" s="8"/>
      <c r="O12" s="8"/>
      <c r="P12" s="8"/>
      <c r="Q12" s="108">
        <f>+'Annual Cash Flows'!$H$61/Inputs!R12</f>
        <v>-4.6512155001779985E-2</v>
      </c>
      <c r="R12" s="31">
        <f t="shared" si="1"/>
        <v>13250000</v>
      </c>
      <c r="S12" s="32" t="s">
        <v>40</v>
      </c>
      <c r="T12" s="33" t="s">
        <v>41</v>
      </c>
      <c r="U12" s="33" t="s">
        <v>42</v>
      </c>
      <c r="V12" s="33" t="s">
        <v>43</v>
      </c>
      <c r="W12" s="34" t="s">
        <v>44</v>
      </c>
      <c r="X12" s="8"/>
      <c r="Z12" s="8"/>
      <c r="AA12" s="8"/>
      <c r="AE12" s="8"/>
      <c r="AF12" s="8"/>
      <c r="AG12" s="8"/>
    </row>
    <row r="13" spans="1:33" ht="12.75" customHeight="1" x14ac:dyDescent="0.35">
      <c r="B13" s="8"/>
      <c r="C13" s="8"/>
      <c r="D13" s="8"/>
      <c r="E13" s="8"/>
      <c r="F13" s="21"/>
      <c r="G13" s="8"/>
      <c r="H13" s="111" t="str">
        <f>"after a "&amp;TEXT(J12,"0.0%")&amp;" IRR"</f>
        <v>after a 20.0% IRR</v>
      </c>
      <c r="I13" s="112"/>
      <c r="J13" s="154">
        <v>0.25</v>
      </c>
      <c r="K13" s="155">
        <v>0.6</v>
      </c>
      <c r="L13" s="113">
        <f t="shared" si="2"/>
        <v>0.4</v>
      </c>
      <c r="M13" s="8"/>
      <c r="N13" s="8"/>
      <c r="O13" s="8"/>
      <c r="P13" s="8"/>
      <c r="Q13" s="114">
        <f>+'Annual Cash Flows'!$H$61/Inputs!R13</f>
        <v>-4.1782105340582021E-2</v>
      </c>
      <c r="R13" s="115">
        <f t="shared" si="1"/>
        <v>14750000</v>
      </c>
      <c r="S13" s="35" t="s">
        <v>45</v>
      </c>
      <c r="T13" s="36" t="s">
        <v>46</v>
      </c>
      <c r="U13" s="36" t="s">
        <v>47</v>
      </c>
      <c r="V13" s="36" t="s">
        <v>48</v>
      </c>
      <c r="W13" s="37" t="s">
        <v>49</v>
      </c>
      <c r="X13" s="8"/>
      <c r="Z13" s="8"/>
      <c r="AA13" s="8"/>
      <c r="AE13" s="8"/>
      <c r="AF13" s="8"/>
      <c r="AG13" s="8"/>
    </row>
    <row r="14" spans="1:33" ht="12.75" customHeight="1" x14ac:dyDescent="0.35">
      <c r="B14" s="8"/>
      <c r="C14" s="8"/>
      <c r="D14" s="8"/>
      <c r="E14" s="8"/>
      <c r="F14" s="8"/>
      <c r="G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Z14" s="8"/>
      <c r="AA14" s="8"/>
      <c r="AE14" s="8"/>
      <c r="AF14" s="8"/>
      <c r="AG14" s="8"/>
    </row>
    <row r="15" spans="1:33" ht="12.75" customHeight="1" x14ac:dyDescent="0.35">
      <c r="B15" s="12" t="s">
        <v>50</v>
      </c>
      <c r="C15" s="13"/>
      <c r="D15" s="13"/>
      <c r="E15" s="13"/>
      <c r="F15" s="14"/>
      <c r="G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Z15" s="8"/>
      <c r="AA15" s="8"/>
      <c r="AE15" s="8"/>
      <c r="AF15" s="8"/>
      <c r="AG15" s="8"/>
    </row>
    <row r="16" spans="1:33" ht="12.75" customHeight="1" x14ac:dyDescent="0.35">
      <c r="B16" s="38" t="s">
        <v>51</v>
      </c>
      <c r="C16" s="89"/>
      <c r="D16" s="89"/>
      <c r="E16" s="116"/>
      <c r="F16" s="156">
        <v>45488</v>
      </c>
      <c r="G16" s="8"/>
      <c r="H16" s="12" t="s">
        <v>52</v>
      </c>
      <c r="I16" s="13"/>
      <c r="J16" s="13"/>
      <c r="K16" s="13"/>
      <c r="L16" s="14"/>
      <c r="P16" s="8"/>
      <c r="Q16" s="9" t="s">
        <v>53</v>
      </c>
      <c r="R16" s="10"/>
      <c r="S16" s="10"/>
      <c r="T16" s="10"/>
      <c r="U16" s="10"/>
      <c r="V16" s="10"/>
      <c r="W16" s="11"/>
      <c r="X16" s="8"/>
      <c r="Z16" s="8"/>
      <c r="AA16" s="8"/>
      <c r="AE16" s="8"/>
      <c r="AF16" s="8"/>
      <c r="AG16" s="8"/>
    </row>
    <row r="17" spans="2:33" ht="12.75" customHeight="1" x14ac:dyDescent="0.35">
      <c r="B17" s="39" t="s">
        <v>17</v>
      </c>
      <c r="C17" s="40"/>
      <c r="D17" s="41" t="s">
        <v>54</v>
      </c>
      <c r="E17" s="42">
        <f>+'Annual Cash Flows'!H61/Inputs!F17</f>
        <v>-7.0432691859838262E-2</v>
      </c>
      <c r="F17" s="157">
        <v>8750000</v>
      </c>
      <c r="G17" s="8"/>
      <c r="H17" s="117"/>
      <c r="I17" s="17"/>
      <c r="J17" s="17"/>
      <c r="K17" s="17"/>
      <c r="L17" s="91"/>
      <c r="P17" s="8"/>
      <c r="Q17" s="92"/>
      <c r="R17" s="8"/>
      <c r="S17" s="8"/>
      <c r="T17" s="8"/>
      <c r="U17" s="8"/>
      <c r="V17" s="8"/>
      <c r="W17" s="93"/>
      <c r="X17" s="8"/>
      <c r="Z17" s="8"/>
      <c r="AA17" s="98" t="s">
        <v>55</v>
      </c>
      <c r="AB17" s="20"/>
      <c r="AC17" s="20" t="s">
        <v>56</v>
      </c>
      <c r="AE17" s="8"/>
      <c r="AF17" s="8"/>
      <c r="AG17" s="8"/>
    </row>
    <row r="18" spans="2:33" ht="12.75" customHeight="1" x14ac:dyDescent="0.35">
      <c r="B18" s="38" t="s">
        <v>57</v>
      </c>
      <c r="C18" s="89"/>
      <c r="D18" s="89"/>
      <c r="E18" s="158">
        <v>0.02</v>
      </c>
      <c r="F18" s="118">
        <f>E18*$F$17</f>
        <v>175000</v>
      </c>
      <c r="G18" s="8"/>
      <c r="H18" s="92" t="s">
        <v>58</v>
      </c>
      <c r="I18" s="17"/>
      <c r="J18" s="17"/>
      <c r="K18" s="17"/>
      <c r="L18" s="179">
        <v>7</v>
      </c>
      <c r="P18" s="8"/>
      <c r="Q18" s="92"/>
      <c r="R18" s="19" t="s">
        <v>56</v>
      </c>
      <c r="S18" s="436"/>
      <c r="T18" s="8"/>
      <c r="U18" s="8"/>
      <c r="V18" s="8"/>
      <c r="W18" s="93"/>
      <c r="X18" s="8"/>
      <c r="Z18" s="8"/>
      <c r="AA18" s="22" t="s">
        <v>19</v>
      </c>
      <c r="AC18" s="22" t="s">
        <v>19</v>
      </c>
      <c r="AE18" s="8" t="s">
        <v>59</v>
      </c>
      <c r="AF18" s="8"/>
      <c r="AG18" s="21">
        <f t="array" ref="AG18">+INDEX('Annual Cash Flows'!$H$30:$R$30,MATCH(Inputs!L18,'Annual Cash Flows'!$H$8:$R$8,0))</f>
        <v>3239911.3121791063</v>
      </c>
    </row>
    <row r="19" spans="2:33" ht="12.75" customHeight="1" x14ac:dyDescent="0.35">
      <c r="B19" s="38" t="s">
        <v>60</v>
      </c>
      <c r="C19" s="95"/>
      <c r="D19" s="95"/>
      <c r="E19" s="159">
        <v>0</v>
      </c>
      <c r="F19" s="118">
        <f>+E19*F34/12*F35</f>
        <v>0</v>
      </c>
      <c r="G19" s="8"/>
      <c r="H19" s="92" t="s">
        <v>61</v>
      </c>
      <c r="I19" s="8"/>
      <c r="J19" s="8"/>
      <c r="K19" s="8"/>
      <c r="L19" s="103">
        <f t="array" ref="L19">+INDEX('Annual Cash Flows'!$H$61:$R$61,MATCH(Inputs!L18+1,'Annual Cash Flows'!$H$8:$R$8,0))</f>
        <v>-370655.11687112693</v>
      </c>
      <c r="P19" s="8"/>
      <c r="Q19" s="92"/>
      <c r="R19" s="354" t="s">
        <v>62</v>
      </c>
      <c r="S19" s="452" t="s">
        <v>63</v>
      </c>
      <c r="T19" s="453"/>
      <c r="U19" s="453"/>
      <c r="V19" s="453"/>
      <c r="W19" s="454"/>
      <c r="X19" s="8"/>
      <c r="Z19" s="8"/>
      <c r="AA19" s="182">
        <v>0.05</v>
      </c>
      <c r="AC19" s="182">
        <v>0.01</v>
      </c>
      <c r="AE19" s="8" t="s">
        <v>64</v>
      </c>
      <c r="AF19" s="8"/>
      <c r="AG19" s="21">
        <f t="array" ref="AG19">+INDEX('Annual Cash Flows'!$H$61:$R$61,MATCH(Inputs!L18,'Annual Cash Flows'!$H$8:$R$8,0))</f>
        <v>-365908.38239362452</v>
      </c>
    </row>
    <row r="20" spans="2:33" ht="12.75" customHeight="1" x14ac:dyDescent="0.35">
      <c r="B20" s="38" t="s">
        <v>65</v>
      </c>
      <c r="C20" s="95"/>
      <c r="D20" s="95"/>
      <c r="E20" s="159">
        <v>3</v>
      </c>
      <c r="F20" s="118">
        <f>D96/12*E20</f>
        <v>40000</v>
      </c>
      <c r="G20" s="8"/>
      <c r="H20" s="92" t="s">
        <v>18</v>
      </c>
      <c r="I20" s="8"/>
      <c r="J20" s="8"/>
      <c r="K20" s="8"/>
      <c r="L20" s="180">
        <v>8.5000000000000006E-2</v>
      </c>
      <c r="P20" s="8"/>
      <c r="Q20" s="92"/>
      <c r="R20" s="25" t="e">
        <f>+TEXT(Summary!D29,"0.0%")&amp;" | "&amp;TEXT(Summary!E29/1000000,"$#,##0.0")&amp;" | "&amp;TEXT(Summary!F29,"0.0x")&amp;" | "&amp;TEXT(AG20,"0%")</f>
        <v>#NUM!</v>
      </c>
      <c r="S20" s="43">
        <f t="shared" ref="S20:T20" si="3">+T20-$AA$19</f>
        <v>0.7</v>
      </c>
      <c r="T20" s="43">
        <f t="shared" si="3"/>
        <v>0.75</v>
      </c>
      <c r="U20" s="177">
        <v>0.8</v>
      </c>
      <c r="V20" s="43">
        <f t="shared" ref="V20:W20" si="4">+U20+$AA$19</f>
        <v>0.85000000000000009</v>
      </c>
      <c r="W20" s="109">
        <f t="shared" si="4"/>
        <v>0.90000000000000013</v>
      </c>
      <c r="X20" s="8"/>
      <c r="Z20" s="8"/>
      <c r="AA20" s="8"/>
      <c r="AE20" s="8" t="s">
        <v>66</v>
      </c>
      <c r="AF20" s="8"/>
      <c r="AG20" s="45">
        <f>+AG19/AG18</f>
        <v>-0.11293777734536847</v>
      </c>
    </row>
    <row r="21" spans="2:33" ht="12.75" customHeight="1" x14ac:dyDescent="0.35">
      <c r="B21" s="38" t="s">
        <v>67</v>
      </c>
      <c r="C21" s="95"/>
      <c r="D21" s="95"/>
      <c r="E21" s="95"/>
      <c r="F21" s="157">
        <v>0</v>
      </c>
      <c r="G21" s="8"/>
      <c r="H21" s="46" t="s">
        <v>68</v>
      </c>
      <c r="I21" s="47"/>
      <c r="J21" s="47"/>
      <c r="K21" s="47"/>
      <c r="L21" s="48">
        <f>+L19/L20</f>
        <v>-4360648.4337779637</v>
      </c>
      <c r="P21" s="8"/>
      <c r="Q21" s="92"/>
      <c r="R21" s="43">
        <f t="shared" ref="R21:R22" si="5">+R22-$AC$19</f>
        <v>1.4E-2</v>
      </c>
      <c r="S21" s="27" t="s">
        <v>69</v>
      </c>
      <c r="T21" s="28" t="s">
        <v>70</v>
      </c>
      <c r="U21" s="28" t="s">
        <v>71</v>
      </c>
      <c r="V21" s="28" t="s">
        <v>72</v>
      </c>
      <c r="W21" s="29" t="s">
        <v>73</v>
      </c>
      <c r="X21" s="8"/>
      <c r="Z21" s="8"/>
      <c r="AA21" s="8"/>
      <c r="AE21" s="8"/>
      <c r="AF21" s="8"/>
      <c r="AG21" s="8"/>
    </row>
    <row r="22" spans="2:33" ht="12.75" customHeight="1" x14ac:dyDescent="0.35">
      <c r="B22" s="38" t="s">
        <v>74</v>
      </c>
      <c r="C22" s="95"/>
      <c r="D22" s="95"/>
      <c r="E22" s="95"/>
      <c r="F22" s="157">
        <v>150000</v>
      </c>
      <c r="G22" s="8"/>
      <c r="H22" s="92" t="s">
        <v>75</v>
      </c>
      <c r="I22" s="17"/>
      <c r="J22" s="17"/>
      <c r="K22" s="170">
        <v>0.03</v>
      </c>
      <c r="L22" s="119">
        <f>+K22*-L21</f>
        <v>130819.45301333891</v>
      </c>
      <c r="P22" s="8"/>
      <c r="Q22" s="92"/>
      <c r="R22" s="43">
        <f t="shared" si="5"/>
        <v>2.4E-2</v>
      </c>
      <c r="S22" s="32" t="s">
        <v>76</v>
      </c>
      <c r="T22" s="33" t="s">
        <v>77</v>
      </c>
      <c r="U22" s="33" t="s">
        <v>78</v>
      </c>
      <c r="V22" s="33" t="s">
        <v>79</v>
      </c>
      <c r="W22" s="34" t="s">
        <v>80</v>
      </c>
      <c r="X22" s="8"/>
      <c r="Z22" s="8"/>
      <c r="AA22" s="8"/>
      <c r="AE22" s="8"/>
      <c r="AF22" s="8"/>
      <c r="AG22" s="8"/>
    </row>
    <row r="23" spans="2:33" ht="12.75" customHeight="1" x14ac:dyDescent="0.35">
      <c r="B23" s="49" t="s">
        <v>81</v>
      </c>
      <c r="C23" s="50"/>
      <c r="D23" s="50"/>
      <c r="E23" s="158">
        <v>1.2500000000000001E-2</v>
      </c>
      <c r="F23" s="118">
        <f>E23*$F$17</f>
        <v>109375</v>
      </c>
      <c r="G23" s="8"/>
      <c r="H23" s="51" t="s">
        <v>82</v>
      </c>
      <c r="I23" s="52"/>
      <c r="J23" s="52"/>
      <c r="K23" s="52"/>
      <c r="L23" s="53">
        <f>SUM(L21:L22)</f>
        <v>-4229828.9807646247</v>
      </c>
      <c r="P23" s="8"/>
      <c r="Q23" s="92"/>
      <c r="R23" s="44">
        <v>3.4000000000000002E-2</v>
      </c>
      <c r="S23" s="32" t="s">
        <v>83</v>
      </c>
      <c r="T23" s="33" t="s">
        <v>84</v>
      </c>
      <c r="U23" s="33" t="s">
        <v>85</v>
      </c>
      <c r="V23" s="33" t="s">
        <v>86</v>
      </c>
      <c r="W23" s="34" t="s">
        <v>87</v>
      </c>
      <c r="X23" s="8"/>
      <c r="Z23" s="8"/>
      <c r="AA23" s="8"/>
      <c r="AE23" s="8"/>
      <c r="AF23" s="8"/>
      <c r="AG23" s="8"/>
    </row>
    <row r="24" spans="2:33" ht="12.75" customHeight="1" x14ac:dyDescent="0.35">
      <c r="B24" s="46" t="s">
        <v>88</v>
      </c>
      <c r="C24" s="47"/>
      <c r="D24" s="47"/>
      <c r="E24" s="47"/>
      <c r="F24" s="48">
        <f>SUM(F17:F23)</f>
        <v>9224375</v>
      </c>
      <c r="G24" s="8"/>
      <c r="H24" s="8"/>
      <c r="I24" s="8"/>
      <c r="J24" s="8"/>
      <c r="K24" s="8"/>
      <c r="L24" s="8"/>
      <c r="P24" s="8"/>
      <c r="Q24" s="92"/>
      <c r="R24" s="43">
        <f t="shared" ref="R24:R25" si="6">+R23+$AC$19</f>
        <v>4.4000000000000004E-2</v>
      </c>
      <c r="S24" s="32" t="s">
        <v>89</v>
      </c>
      <c r="T24" s="33" t="s">
        <v>90</v>
      </c>
      <c r="U24" s="33" t="s">
        <v>91</v>
      </c>
      <c r="V24" s="33" t="s">
        <v>92</v>
      </c>
      <c r="W24" s="34" t="s">
        <v>93</v>
      </c>
      <c r="X24" s="8"/>
      <c r="Z24" s="8"/>
      <c r="AA24" s="8"/>
      <c r="AE24" s="8"/>
      <c r="AF24" s="8"/>
      <c r="AG24" s="8"/>
    </row>
    <row r="25" spans="2:33" ht="12.75" customHeight="1" x14ac:dyDescent="0.35">
      <c r="B25" s="38" t="s">
        <v>94</v>
      </c>
      <c r="C25" s="95"/>
      <c r="D25" s="95"/>
      <c r="E25" s="95"/>
      <c r="F25" s="160">
        <v>103</v>
      </c>
      <c r="G25" s="8"/>
      <c r="H25" s="9" t="s">
        <v>95</v>
      </c>
      <c r="I25" s="10"/>
      <c r="J25" s="10"/>
      <c r="K25" s="10"/>
      <c r="L25" s="11"/>
      <c r="M25" s="8"/>
      <c r="N25" s="8"/>
      <c r="P25" s="8"/>
      <c r="Q25" s="120"/>
      <c r="R25" s="121">
        <f t="shared" si="6"/>
        <v>5.4000000000000006E-2</v>
      </c>
      <c r="S25" s="35" t="s">
        <v>96</v>
      </c>
      <c r="T25" s="36" t="s">
        <v>97</v>
      </c>
      <c r="U25" s="36" t="s">
        <v>98</v>
      </c>
      <c r="V25" s="36" t="s">
        <v>99</v>
      </c>
      <c r="W25" s="37" t="s">
        <v>100</v>
      </c>
      <c r="X25" s="8"/>
      <c r="Z25" s="8"/>
      <c r="AA25" s="8"/>
      <c r="AE25" s="8"/>
      <c r="AF25" s="8"/>
      <c r="AG25" s="8"/>
    </row>
    <row r="26" spans="2:33" ht="12.75" customHeight="1" x14ac:dyDescent="0.35">
      <c r="B26" s="38" t="s">
        <v>101</v>
      </c>
      <c r="C26" s="95"/>
      <c r="D26" s="95"/>
      <c r="E26" s="116"/>
      <c r="F26" s="54">
        <f>Summary!F17</f>
        <v>240954.49534982085</v>
      </c>
      <c r="G26" s="8"/>
      <c r="H26" s="92"/>
      <c r="I26" s="8"/>
      <c r="J26" s="8"/>
      <c r="K26" s="8"/>
      <c r="L26" s="93"/>
      <c r="M26" s="8"/>
      <c r="N26" s="8"/>
      <c r="P26" s="8"/>
      <c r="Q26" s="8"/>
      <c r="R26" s="8"/>
      <c r="S26" s="8"/>
      <c r="T26" s="8"/>
      <c r="U26" s="8"/>
      <c r="V26" s="8"/>
      <c r="W26" s="8"/>
      <c r="X26" s="8"/>
      <c r="Z26" s="8"/>
      <c r="AA26" s="8"/>
      <c r="AE26" s="8"/>
      <c r="AF26" s="8"/>
      <c r="AG26" s="8"/>
    </row>
    <row r="27" spans="2:33" ht="15" customHeight="1" x14ac:dyDescent="0.35">
      <c r="B27" s="38" t="s">
        <v>102</v>
      </c>
      <c r="C27" s="95"/>
      <c r="D27" s="95"/>
      <c r="E27" s="116">
        <f>+F27/$F$27</f>
        <v>1</v>
      </c>
      <c r="F27" s="55">
        <f>+F17/F25</f>
        <v>84951.456310679612</v>
      </c>
      <c r="G27" s="8"/>
      <c r="H27" s="122" t="s">
        <v>103</v>
      </c>
      <c r="I27" s="8"/>
      <c r="J27" s="8"/>
      <c r="K27" s="8"/>
      <c r="L27" s="93"/>
      <c r="M27" s="8"/>
      <c r="N27" s="8"/>
      <c r="P27" s="8"/>
      <c r="Q27" s="9" t="s">
        <v>4</v>
      </c>
      <c r="R27" s="10"/>
      <c r="S27" s="10"/>
      <c r="T27" s="10"/>
      <c r="U27" s="10"/>
      <c r="V27" s="10"/>
      <c r="W27" s="11"/>
      <c r="X27" s="8"/>
      <c r="Z27" s="8"/>
      <c r="AA27" s="8"/>
      <c r="AE27" s="8"/>
      <c r="AF27" s="8"/>
      <c r="AG27" s="8"/>
    </row>
    <row r="28" spans="2:33" ht="12.75" customHeight="1" x14ac:dyDescent="0.35">
      <c r="B28" s="38" t="s">
        <v>104</v>
      </c>
      <c r="C28" s="95"/>
      <c r="D28" s="95"/>
      <c r="E28" s="123">
        <f>+F28/F27</f>
        <v>0.65</v>
      </c>
      <c r="F28" s="54">
        <f>+E42*F27</f>
        <v>55218.446601941752</v>
      </c>
      <c r="G28" s="8"/>
      <c r="H28" s="92" t="s">
        <v>105</v>
      </c>
      <c r="I28" s="8"/>
      <c r="J28" s="56"/>
      <c r="K28" s="8"/>
      <c r="L28" s="181" t="s">
        <v>106</v>
      </c>
      <c r="M28" s="8"/>
      <c r="N28" s="8"/>
      <c r="P28" s="8"/>
      <c r="Q28" s="92"/>
      <c r="R28" s="8"/>
      <c r="S28" s="8"/>
      <c r="T28" s="8"/>
      <c r="U28" s="8"/>
      <c r="V28" s="8"/>
      <c r="W28" s="93"/>
      <c r="X28" s="8"/>
      <c r="Z28" s="8"/>
      <c r="AA28" s="8"/>
      <c r="AE28" s="8"/>
      <c r="AF28" s="8"/>
      <c r="AG28" s="8"/>
    </row>
    <row r="29" spans="2:33" ht="12.75" customHeight="1" x14ac:dyDescent="0.35">
      <c r="B29" s="99" t="s">
        <v>107</v>
      </c>
      <c r="C29" s="100"/>
      <c r="D29" s="100"/>
      <c r="E29" s="124">
        <f>+F33</f>
        <v>0.65</v>
      </c>
      <c r="F29" s="102">
        <f>+F27*F33</f>
        <v>55218.446601941752</v>
      </c>
      <c r="G29" s="8"/>
      <c r="H29" s="92" t="s">
        <v>108</v>
      </c>
      <c r="I29" s="8"/>
      <c r="J29" s="56"/>
      <c r="K29" s="57">
        <f>IF(L29="Yes",1,0)</f>
        <v>1</v>
      </c>
      <c r="L29" s="181" t="s">
        <v>106</v>
      </c>
      <c r="M29" s="8"/>
      <c r="N29" s="8"/>
      <c r="P29" s="8"/>
      <c r="Q29" s="92"/>
      <c r="R29" s="19" t="s">
        <v>109</v>
      </c>
      <c r="S29" s="436"/>
      <c r="T29" s="8"/>
      <c r="U29" s="8"/>
      <c r="V29" s="8"/>
      <c r="W29" s="93"/>
      <c r="X29" s="8"/>
      <c r="Z29" s="8"/>
      <c r="AA29" s="8"/>
      <c r="AE29" s="8"/>
      <c r="AF29" s="8"/>
      <c r="AG29" s="8"/>
    </row>
    <row r="30" spans="2:33" ht="12.75" customHeight="1" x14ac:dyDescent="0.35">
      <c r="B30" s="8"/>
      <c r="C30" s="8"/>
      <c r="D30" s="8"/>
      <c r="E30" s="8"/>
      <c r="F30" s="8"/>
      <c r="G30" s="8"/>
      <c r="H30" s="92" t="s">
        <v>110</v>
      </c>
      <c r="I30" s="8"/>
      <c r="J30" s="8"/>
      <c r="K30" s="8"/>
      <c r="L30" s="179">
        <v>3</v>
      </c>
      <c r="M30" s="8"/>
      <c r="N30" s="8"/>
      <c r="P30" s="8"/>
      <c r="Q30" s="92"/>
      <c r="R30" s="354" t="s">
        <v>111</v>
      </c>
      <c r="S30" s="452" t="s">
        <v>18</v>
      </c>
      <c r="T30" s="453"/>
      <c r="U30" s="453"/>
      <c r="V30" s="453"/>
      <c r="W30" s="454"/>
      <c r="X30" s="8"/>
      <c r="Z30" s="8"/>
      <c r="AA30" s="8"/>
      <c r="AE30" s="8"/>
      <c r="AF30" s="8"/>
      <c r="AG30" s="8"/>
    </row>
    <row r="31" spans="2:33" ht="12.75" customHeight="1" x14ac:dyDescent="0.35">
      <c r="B31" s="9" t="s">
        <v>112</v>
      </c>
      <c r="C31" s="10"/>
      <c r="D31" s="10"/>
      <c r="E31" s="10"/>
      <c r="F31" s="11"/>
      <c r="G31" s="8"/>
      <c r="H31" s="92" t="s">
        <v>113</v>
      </c>
      <c r="I31" s="8"/>
      <c r="J31" s="8"/>
      <c r="K31" s="8"/>
      <c r="L31" s="103">
        <f t="array" ref="L31">+INDEX('Annual Cash Flows'!$H$61:$R$61,MATCH(Inputs!L30+1,'Annual Cash Flows'!$H$8:$R$8,0))</f>
        <v>-351327.6392466547</v>
      </c>
      <c r="M31" s="8"/>
      <c r="N31" s="8"/>
      <c r="P31" s="8"/>
      <c r="Q31" s="92"/>
      <c r="R31" s="25" t="e">
        <f t="shared" ref="R31:W31" si="7">+R8</f>
        <v>#NUM!</v>
      </c>
      <c r="S31" s="26">
        <f t="shared" si="7"/>
        <v>7.0000000000000007E-2</v>
      </c>
      <c r="T31" s="26">
        <f t="shared" si="7"/>
        <v>7.5000000000000011E-2</v>
      </c>
      <c r="U31" s="26">
        <f t="shared" si="7"/>
        <v>8.0000000000000016E-2</v>
      </c>
      <c r="V31" s="26">
        <f t="shared" si="7"/>
        <v>8.500000000000002E-2</v>
      </c>
      <c r="W31" s="106">
        <f t="shared" si="7"/>
        <v>9.0000000000000024E-2</v>
      </c>
      <c r="X31" s="8"/>
      <c r="Z31" s="8"/>
      <c r="AA31" s="8"/>
      <c r="AE31" s="8"/>
      <c r="AF31" s="8"/>
      <c r="AG31" s="8"/>
    </row>
    <row r="32" spans="2:33" ht="12.75" customHeight="1" x14ac:dyDescent="0.35">
      <c r="B32" s="122" t="s">
        <v>114</v>
      </c>
      <c r="C32" s="8"/>
      <c r="D32" s="8"/>
      <c r="E32" s="8"/>
      <c r="F32" s="93"/>
      <c r="G32" s="8"/>
      <c r="H32" s="92" t="s">
        <v>115</v>
      </c>
      <c r="I32" s="8"/>
      <c r="J32" s="8"/>
      <c r="K32" s="8"/>
      <c r="L32" s="180">
        <v>8.5000000000000006E-2</v>
      </c>
      <c r="M32" s="8"/>
      <c r="N32" s="8"/>
      <c r="P32" s="8"/>
      <c r="Q32" s="92"/>
      <c r="R32" s="178">
        <v>6</v>
      </c>
      <c r="S32" s="27" t="s">
        <v>116</v>
      </c>
      <c r="T32" s="28" t="s">
        <v>117</v>
      </c>
      <c r="U32" s="28" t="s">
        <v>118</v>
      </c>
      <c r="V32" s="28" t="s">
        <v>119</v>
      </c>
      <c r="W32" s="29" t="s">
        <v>120</v>
      </c>
      <c r="X32" s="8"/>
      <c r="Z32" s="8"/>
      <c r="AA32" s="8"/>
      <c r="AE32" s="8"/>
      <c r="AF32" s="8"/>
      <c r="AG32" s="8"/>
    </row>
    <row r="33" spans="2:33" ht="12.75" customHeight="1" x14ac:dyDescent="0.35">
      <c r="B33" s="39" t="s">
        <v>121</v>
      </c>
      <c r="C33" s="58"/>
      <c r="D33" s="58"/>
      <c r="E33" s="58"/>
      <c r="F33" s="161">
        <v>0.65</v>
      </c>
      <c r="G33" s="8"/>
      <c r="H33" s="46" t="s">
        <v>122</v>
      </c>
      <c r="I33" s="47"/>
      <c r="J33" s="47"/>
      <c r="K33" s="47"/>
      <c r="L33" s="48">
        <f>IF(L28="No",0,+L31/L32)</f>
        <v>-4133266.3440782903</v>
      </c>
      <c r="M33" s="8"/>
      <c r="N33" s="8"/>
      <c r="P33" s="8"/>
      <c r="Q33" s="92"/>
      <c r="R33" s="59">
        <f t="shared" ref="R33:R36" si="8">+R32+1</f>
        <v>7</v>
      </c>
      <c r="S33" s="32" t="s">
        <v>35</v>
      </c>
      <c r="T33" s="33" t="s">
        <v>36</v>
      </c>
      <c r="U33" s="33" t="s">
        <v>37</v>
      </c>
      <c r="V33" s="33" t="s">
        <v>38</v>
      </c>
      <c r="W33" s="34" t="s">
        <v>39</v>
      </c>
      <c r="X33" s="8"/>
      <c r="Z33" s="8"/>
      <c r="AA33" s="8"/>
      <c r="AE33" s="8"/>
      <c r="AF33" s="8"/>
      <c r="AG33" s="8"/>
    </row>
    <row r="34" spans="2:33" ht="12.75" customHeight="1" x14ac:dyDescent="0.35">
      <c r="B34" s="38" t="s">
        <v>123</v>
      </c>
      <c r="C34" s="95"/>
      <c r="D34" s="95"/>
      <c r="E34" s="95"/>
      <c r="F34" s="162">
        <v>7.1499999999999994E-2</v>
      </c>
      <c r="G34" s="8"/>
      <c r="H34" s="92"/>
      <c r="I34" s="8"/>
      <c r="J34" s="8"/>
      <c r="K34" s="8"/>
      <c r="L34" s="93"/>
      <c r="M34" s="8"/>
      <c r="N34" s="8"/>
      <c r="O34" s="8"/>
      <c r="P34" s="8"/>
      <c r="Q34" s="92"/>
      <c r="R34" s="59">
        <f t="shared" si="8"/>
        <v>8</v>
      </c>
      <c r="S34" s="32" t="s">
        <v>124</v>
      </c>
      <c r="T34" s="33" t="s">
        <v>125</v>
      </c>
      <c r="U34" s="33" t="s">
        <v>126</v>
      </c>
      <c r="V34" s="33" t="s">
        <v>127</v>
      </c>
      <c r="W34" s="34" t="s">
        <v>128</v>
      </c>
      <c r="X34" s="8"/>
      <c r="Z34" s="8"/>
      <c r="AA34" s="8"/>
      <c r="AE34" s="8"/>
      <c r="AF34" s="8"/>
      <c r="AG34" s="8"/>
    </row>
    <row r="35" spans="2:33" ht="12.75" customHeight="1" x14ac:dyDescent="0.35">
      <c r="B35" s="38" t="s">
        <v>129</v>
      </c>
      <c r="C35" s="95"/>
      <c r="D35" s="95"/>
      <c r="E35" s="95"/>
      <c r="F35" s="54">
        <f>+F33*F17</f>
        <v>5687500</v>
      </c>
      <c r="G35" s="8"/>
      <c r="H35" s="92"/>
      <c r="I35" s="8"/>
      <c r="J35" s="8"/>
      <c r="K35" s="8"/>
      <c r="L35" s="93"/>
      <c r="M35" s="8"/>
      <c r="N35" s="8"/>
      <c r="P35" s="8"/>
      <c r="Q35" s="92"/>
      <c r="R35" s="59">
        <f t="shared" si="8"/>
        <v>9</v>
      </c>
      <c r="S35" s="32" t="s">
        <v>130</v>
      </c>
      <c r="T35" s="33" t="s">
        <v>131</v>
      </c>
      <c r="U35" s="33" t="s">
        <v>132</v>
      </c>
      <c r="V35" s="33" t="s">
        <v>133</v>
      </c>
      <c r="W35" s="34" t="s">
        <v>134</v>
      </c>
      <c r="X35" s="8"/>
      <c r="Z35" s="8"/>
      <c r="AA35" s="8"/>
      <c r="AE35" s="8"/>
      <c r="AF35" s="8"/>
      <c r="AG35" s="8"/>
    </row>
    <row r="36" spans="2:33" ht="12.75" customHeight="1" x14ac:dyDescent="0.35">
      <c r="B36" s="49" t="s">
        <v>135</v>
      </c>
      <c r="C36" s="50"/>
      <c r="D36" s="50"/>
      <c r="E36" s="163">
        <v>0.01</v>
      </c>
      <c r="F36" s="60">
        <f>+E36*F35</f>
        <v>56875</v>
      </c>
      <c r="G36" s="8"/>
      <c r="H36" s="39" t="s">
        <v>136</v>
      </c>
      <c r="I36" s="58"/>
      <c r="J36" s="58"/>
      <c r="K36" s="58"/>
      <c r="L36" s="161">
        <v>0.65</v>
      </c>
      <c r="M36" s="8"/>
      <c r="N36" s="8"/>
      <c r="P36" s="61"/>
      <c r="Q36" s="120"/>
      <c r="R36" s="125">
        <f t="shared" si="8"/>
        <v>10</v>
      </c>
      <c r="S36" s="35" t="s">
        <v>137</v>
      </c>
      <c r="T36" s="36" t="s">
        <v>138</v>
      </c>
      <c r="U36" s="36" t="s">
        <v>139</v>
      </c>
      <c r="V36" s="36" t="s">
        <v>140</v>
      </c>
      <c r="W36" s="37" t="s">
        <v>141</v>
      </c>
      <c r="X36" s="8"/>
      <c r="Z36" s="8"/>
      <c r="AA36" s="8"/>
      <c r="AE36" s="8"/>
      <c r="AF36" s="8"/>
      <c r="AG36" s="8"/>
    </row>
    <row r="37" spans="2:33" ht="12.75" customHeight="1" x14ac:dyDescent="0.35">
      <c r="B37" s="92" t="s">
        <v>142</v>
      </c>
      <c r="C37" s="8"/>
      <c r="D37" s="8"/>
      <c r="E37" s="57">
        <f>IF(F37="Interest Only",1,0)</f>
        <v>0</v>
      </c>
      <c r="F37" s="164" t="s">
        <v>143</v>
      </c>
      <c r="G37" s="8"/>
      <c r="H37" s="38" t="s">
        <v>123</v>
      </c>
      <c r="I37" s="95"/>
      <c r="J37" s="95"/>
      <c r="K37" s="95"/>
      <c r="L37" s="162">
        <v>7.0000000000000007E-2</v>
      </c>
      <c r="M37" s="8"/>
      <c r="N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</row>
    <row r="38" spans="2:33" ht="12.75" customHeight="1" x14ac:dyDescent="0.35">
      <c r="B38" s="92" t="s">
        <v>144</v>
      </c>
      <c r="C38" s="8"/>
      <c r="D38" s="8"/>
      <c r="E38" s="8"/>
      <c r="F38" s="165">
        <v>25</v>
      </c>
      <c r="G38" s="8"/>
      <c r="H38" s="38" t="s">
        <v>129</v>
      </c>
      <c r="I38" s="95"/>
      <c r="J38" s="95"/>
      <c r="K38" s="95"/>
      <c r="L38" s="54">
        <f>+L33*L36</f>
        <v>-2686623.1236508889</v>
      </c>
      <c r="M38" s="8"/>
      <c r="N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</row>
    <row r="39" spans="2:33" ht="12.75" customHeight="1" x14ac:dyDescent="0.35">
      <c r="B39" s="92" t="s">
        <v>145</v>
      </c>
      <c r="C39" s="8"/>
      <c r="D39" s="8"/>
      <c r="E39" s="8"/>
      <c r="F39" s="103">
        <f>IF(E37=1,F35*F34,+PMT(F34,F38,-F35,0))</f>
        <v>494660.30320318299</v>
      </c>
      <c r="G39" s="8"/>
      <c r="H39" s="49" t="s">
        <v>135</v>
      </c>
      <c r="I39" s="50"/>
      <c r="J39" s="50"/>
      <c r="K39" s="163">
        <v>0.01</v>
      </c>
      <c r="L39" s="60">
        <f>+K39*L38</f>
        <v>-26866.231236508891</v>
      </c>
      <c r="M39" s="8"/>
      <c r="N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</row>
    <row r="40" spans="2:33" ht="12.75" customHeight="1" x14ac:dyDescent="0.35">
      <c r="B40" s="92"/>
      <c r="C40" s="8"/>
      <c r="D40" s="8"/>
      <c r="E40" s="8"/>
      <c r="F40" s="93"/>
      <c r="G40" s="8"/>
      <c r="H40" s="92" t="s">
        <v>142</v>
      </c>
      <c r="I40" s="8"/>
      <c r="J40" s="8"/>
      <c r="K40" s="57">
        <f>IF(L40="Interest Only",1,0)</f>
        <v>0</v>
      </c>
      <c r="L40" s="164" t="s">
        <v>143</v>
      </c>
      <c r="M40" s="8"/>
      <c r="N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</row>
    <row r="41" spans="2:33" ht="12.75" customHeight="1" x14ac:dyDescent="0.35">
      <c r="B41" s="122" t="s">
        <v>146</v>
      </c>
      <c r="C41" s="8"/>
      <c r="D41" s="8"/>
      <c r="E41" s="8"/>
      <c r="F41" s="93"/>
      <c r="G41" s="8"/>
      <c r="H41" s="92" t="s">
        <v>144</v>
      </c>
      <c r="I41" s="8"/>
      <c r="J41" s="8"/>
      <c r="K41" s="8"/>
      <c r="L41" s="165">
        <v>25</v>
      </c>
      <c r="M41" s="8"/>
      <c r="N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2:33" ht="12.75" customHeight="1" x14ac:dyDescent="0.35">
      <c r="B42" s="39" t="s">
        <v>121</v>
      </c>
      <c r="C42" s="58"/>
      <c r="D42" s="58"/>
      <c r="E42" s="62">
        <f>F42+F33</f>
        <v>0.65</v>
      </c>
      <c r="F42" s="166">
        <v>0</v>
      </c>
      <c r="G42" s="8"/>
      <c r="H42" s="120" t="s">
        <v>145</v>
      </c>
      <c r="I42" s="112"/>
      <c r="J42" s="112"/>
      <c r="K42" s="112"/>
      <c r="L42" s="126">
        <f>IF(K40=1,L38*L37,+PMT(L37,L41,-L38,0))</f>
        <v>-230540.51981748306</v>
      </c>
      <c r="M42" s="8"/>
      <c r="N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</row>
    <row r="43" spans="2:33" ht="12.75" customHeight="1" x14ac:dyDescent="0.35">
      <c r="B43" s="38" t="s">
        <v>123</v>
      </c>
      <c r="C43" s="95"/>
      <c r="D43" s="95"/>
      <c r="E43" s="95"/>
      <c r="F43" s="162">
        <v>0.13</v>
      </c>
      <c r="G43" s="8"/>
      <c r="H43" s="8"/>
      <c r="I43" s="8"/>
      <c r="J43" s="8"/>
      <c r="K43" s="8"/>
      <c r="L43" s="8"/>
      <c r="M43" s="8"/>
      <c r="N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</row>
    <row r="44" spans="2:33" ht="12.75" customHeight="1" x14ac:dyDescent="0.35">
      <c r="B44" s="38" t="s">
        <v>129</v>
      </c>
      <c r="C44" s="95"/>
      <c r="D44" s="95"/>
      <c r="E44" s="95"/>
      <c r="F44" s="54">
        <f>E42*F17-F35</f>
        <v>0</v>
      </c>
      <c r="G44" s="8"/>
      <c r="M44" s="8"/>
      <c r="N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</row>
    <row r="45" spans="2:33" ht="12.75" customHeight="1" x14ac:dyDescent="0.35">
      <c r="B45" s="49" t="s">
        <v>135</v>
      </c>
      <c r="C45" s="50"/>
      <c r="D45" s="50"/>
      <c r="E45" s="163">
        <v>0</v>
      </c>
      <c r="F45" s="60">
        <f>+E45*F44</f>
        <v>0</v>
      </c>
      <c r="G45" s="8"/>
      <c r="H45" s="8"/>
      <c r="I45" s="8"/>
      <c r="J45" s="8"/>
      <c r="K45" s="8"/>
      <c r="L45" s="8"/>
      <c r="M45" s="8"/>
      <c r="N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</row>
    <row r="46" spans="2:33" ht="12.75" customHeight="1" x14ac:dyDescent="0.35">
      <c r="B46" s="92" t="s">
        <v>142</v>
      </c>
      <c r="C46" s="8"/>
      <c r="D46" s="8"/>
      <c r="E46" s="57">
        <f>IF(F46="Interest Only",1,0)</f>
        <v>1</v>
      </c>
      <c r="F46" s="164" t="s">
        <v>147</v>
      </c>
      <c r="G46" s="8"/>
      <c r="H46" s="8"/>
      <c r="I46" s="8"/>
      <c r="J46" s="8"/>
      <c r="K46" s="8"/>
      <c r="L46" s="8"/>
      <c r="M46" s="8"/>
      <c r="N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</row>
    <row r="47" spans="2:33" ht="12.75" customHeight="1" x14ac:dyDescent="0.35">
      <c r="B47" s="92" t="s">
        <v>144</v>
      </c>
      <c r="C47" s="8"/>
      <c r="D47" s="8"/>
      <c r="E47" s="8"/>
      <c r="F47" s="165">
        <v>25</v>
      </c>
      <c r="G47" s="8"/>
      <c r="H47" s="8"/>
      <c r="I47" s="8"/>
      <c r="J47" s="8"/>
      <c r="K47" s="8"/>
      <c r="L47" s="8"/>
      <c r="M47" s="8"/>
      <c r="N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</row>
    <row r="48" spans="2:33" ht="12.75" customHeight="1" x14ac:dyDescent="0.35">
      <c r="B48" s="120" t="s">
        <v>145</v>
      </c>
      <c r="C48" s="112"/>
      <c r="D48" s="112"/>
      <c r="E48" s="112"/>
      <c r="F48" s="126">
        <f>IF(E46=1,F44*F43,+PMT(F43,F47,-F44,0))</f>
        <v>0</v>
      </c>
      <c r="G48" s="8"/>
      <c r="H48" s="8"/>
      <c r="I48" s="8"/>
      <c r="J48" s="8"/>
      <c r="K48" s="8"/>
      <c r="L48" s="8"/>
      <c r="M48" s="8"/>
      <c r="N48" s="8"/>
      <c r="P48" s="8"/>
      <c r="Q48" s="8"/>
      <c r="R48" s="59"/>
      <c r="S48" s="30"/>
      <c r="T48" s="30"/>
      <c r="U48" s="19"/>
      <c r="V48" s="30"/>
      <c r="W48" s="30"/>
      <c r="X48" s="8"/>
      <c r="Z48" s="8"/>
      <c r="AA48" s="8"/>
      <c r="AE48" s="8"/>
      <c r="AF48" s="8"/>
      <c r="AG48" s="8"/>
    </row>
    <row r="49" spans="1:33" ht="12.75" customHeight="1" x14ac:dyDescent="0.35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P49" s="8"/>
      <c r="Q49" s="8"/>
      <c r="R49" s="59"/>
      <c r="S49" s="30"/>
      <c r="T49" s="30"/>
      <c r="U49" s="30"/>
      <c r="V49" s="30"/>
      <c r="W49" s="30"/>
      <c r="X49" s="8"/>
      <c r="Z49" s="8"/>
      <c r="AA49" s="8"/>
      <c r="AE49" s="8"/>
      <c r="AF49" s="8"/>
      <c r="AG49" s="8"/>
    </row>
    <row r="50" spans="1:33" ht="12.75" customHeight="1" x14ac:dyDescent="0.4">
      <c r="A50" s="4" t="str">
        <f>+A1</f>
        <v>Hotel Value Add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3"/>
      <c r="P50" s="4" t="str">
        <f>+A50</f>
        <v>Hotel Value Add</v>
      </c>
      <c r="Q50" s="2"/>
      <c r="R50" s="2"/>
      <c r="S50" s="2"/>
      <c r="T50" s="2"/>
      <c r="U50" s="2"/>
      <c r="V50" s="2"/>
      <c r="W50" s="3"/>
      <c r="X50" s="8"/>
      <c r="Z50" s="8"/>
      <c r="AA50" s="8"/>
      <c r="AE50" s="8"/>
      <c r="AF50" s="8"/>
      <c r="AG50" s="8"/>
    </row>
    <row r="51" spans="1:33" ht="12.75" customHeight="1" x14ac:dyDescent="0.35">
      <c r="A51" s="7" t="s">
        <v>1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7" t="s">
        <v>148</v>
      </c>
      <c r="Q51" s="8"/>
      <c r="R51" s="8"/>
      <c r="S51" s="8"/>
      <c r="T51" s="8"/>
      <c r="U51" s="8"/>
      <c r="V51" s="8"/>
      <c r="W51" s="8"/>
      <c r="X51" s="8"/>
      <c r="Z51" s="8"/>
      <c r="AA51" s="8"/>
      <c r="AE51" s="8"/>
      <c r="AF51" s="8"/>
      <c r="AG51" s="8"/>
    </row>
    <row r="52" spans="1:33" ht="12.75" customHeight="1" x14ac:dyDescent="0.35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P52" s="8"/>
      <c r="Q52" s="8"/>
      <c r="R52" s="63"/>
      <c r="S52" s="30"/>
      <c r="T52" s="30"/>
      <c r="U52" s="30"/>
      <c r="V52" s="30"/>
      <c r="W52" s="30"/>
      <c r="X52" s="8"/>
      <c r="Z52" s="8"/>
      <c r="AA52" s="8"/>
      <c r="AC52" s="20" t="s">
        <v>149</v>
      </c>
      <c r="AE52" s="8"/>
      <c r="AF52" s="8"/>
      <c r="AG52" s="8"/>
    </row>
    <row r="53" spans="1:33" ht="15" customHeight="1" x14ac:dyDescent="0.35">
      <c r="B53" s="12" t="s">
        <v>150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4"/>
      <c r="P53" s="8"/>
      <c r="Q53" s="9" t="s">
        <v>151</v>
      </c>
      <c r="R53" s="10"/>
      <c r="S53" s="10"/>
      <c r="T53" s="10"/>
      <c r="U53" s="10"/>
      <c r="V53" s="10"/>
      <c r="W53" s="11"/>
      <c r="X53" s="8"/>
      <c r="Z53" s="8"/>
      <c r="AA53" s="8"/>
      <c r="AC53" s="22" t="s">
        <v>19</v>
      </c>
      <c r="AE53" s="8"/>
      <c r="AF53" s="8"/>
      <c r="AG53" s="8"/>
    </row>
    <row r="54" spans="1:33" ht="15" customHeight="1" x14ac:dyDescent="0.35">
      <c r="B54" s="92"/>
      <c r="C54" s="8"/>
      <c r="D54" s="8"/>
      <c r="E54" s="8"/>
      <c r="F54" s="8"/>
      <c r="G54" s="8"/>
      <c r="H54" s="8"/>
      <c r="I54" s="8"/>
      <c r="J54" s="8"/>
      <c r="K54" s="8"/>
      <c r="L54" s="8"/>
      <c r="M54" s="64"/>
      <c r="N54" s="93"/>
      <c r="P54" s="8"/>
      <c r="Q54" s="92"/>
      <c r="R54" s="8"/>
      <c r="S54" s="8"/>
      <c r="T54" s="8"/>
      <c r="U54" s="8"/>
      <c r="V54" s="8"/>
      <c r="W54" s="93"/>
      <c r="X54" s="8"/>
      <c r="Z54" s="8"/>
      <c r="AA54" s="8"/>
      <c r="AC54" s="182">
        <v>0.05</v>
      </c>
      <c r="AE54" s="8"/>
      <c r="AF54" s="8"/>
      <c r="AG54" s="8"/>
    </row>
    <row r="55" spans="1:33" ht="15" customHeight="1" x14ac:dyDescent="0.35">
      <c r="B55" s="92"/>
      <c r="C55" s="127">
        <v>0</v>
      </c>
      <c r="D55" s="127">
        <f t="shared" ref="D55:N55" si="9">+C55+1</f>
        <v>1</v>
      </c>
      <c r="E55" s="127">
        <f t="shared" si="9"/>
        <v>2</v>
      </c>
      <c r="F55" s="127">
        <f t="shared" si="9"/>
        <v>3</v>
      </c>
      <c r="G55" s="127">
        <f t="shared" si="9"/>
        <v>4</v>
      </c>
      <c r="H55" s="127">
        <f t="shared" si="9"/>
        <v>5</v>
      </c>
      <c r="I55" s="127">
        <f t="shared" si="9"/>
        <v>6</v>
      </c>
      <c r="J55" s="127">
        <f t="shared" si="9"/>
        <v>7</v>
      </c>
      <c r="K55" s="127">
        <f t="shared" si="9"/>
        <v>8</v>
      </c>
      <c r="L55" s="127">
        <f t="shared" si="9"/>
        <v>9</v>
      </c>
      <c r="M55" s="127">
        <f t="shared" si="9"/>
        <v>10</v>
      </c>
      <c r="N55" s="65">
        <f t="shared" si="9"/>
        <v>11</v>
      </c>
      <c r="P55" s="8"/>
      <c r="Q55" s="97"/>
      <c r="R55" s="19" t="s">
        <v>152</v>
      </c>
      <c r="S55" s="8"/>
      <c r="T55" s="8"/>
      <c r="U55" s="8"/>
      <c r="V55" s="8"/>
      <c r="W55" s="93"/>
      <c r="X55" s="8"/>
      <c r="Z55" s="8"/>
      <c r="AA55" s="8"/>
      <c r="AE55" s="8"/>
      <c r="AF55" s="8"/>
      <c r="AG55" s="8"/>
    </row>
    <row r="56" spans="1:33" ht="15" customHeight="1" x14ac:dyDescent="0.35">
      <c r="B56" s="92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66"/>
      <c r="P56" s="8"/>
      <c r="Q56" s="104"/>
      <c r="R56" s="354" t="s">
        <v>153</v>
      </c>
      <c r="S56" s="452" t="s">
        <v>154</v>
      </c>
      <c r="T56" s="453"/>
      <c r="U56" s="453"/>
      <c r="V56" s="453"/>
      <c r="W56" s="454"/>
      <c r="X56" s="8"/>
      <c r="Z56" s="8"/>
      <c r="AA56" s="8"/>
      <c r="AE56" s="8"/>
      <c r="AF56" s="8"/>
      <c r="AG56" s="8"/>
    </row>
    <row r="57" spans="1:33" ht="15" customHeight="1" x14ac:dyDescent="0.35">
      <c r="B57" s="92" t="s">
        <v>155</v>
      </c>
      <c r="C57" s="21">
        <f>+F25</f>
        <v>103</v>
      </c>
      <c r="D57" s="21">
        <f t="shared" ref="D57:N57" si="10">+C57</f>
        <v>103</v>
      </c>
      <c r="E57" s="21">
        <f t="shared" si="10"/>
        <v>103</v>
      </c>
      <c r="F57" s="21">
        <f t="shared" si="10"/>
        <v>103</v>
      </c>
      <c r="G57" s="21">
        <f t="shared" si="10"/>
        <v>103</v>
      </c>
      <c r="H57" s="21">
        <f t="shared" si="10"/>
        <v>103</v>
      </c>
      <c r="I57" s="21">
        <f t="shared" si="10"/>
        <v>103</v>
      </c>
      <c r="J57" s="21">
        <f t="shared" si="10"/>
        <v>103</v>
      </c>
      <c r="K57" s="21">
        <f t="shared" si="10"/>
        <v>103</v>
      </c>
      <c r="L57" s="21">
        <f t="shared" si="10"/>
        <v>103</v>
      </c>
      <c r="M57" s="21">
        <f t="shared" si="10"/>
        <v>103</v>
      </c>
      <c r="N57" s="103">
        <f t="shared" si="10"/>
        <v>103</v>
      </c>
      <c r="P57" s="8"/>
      <c r="Q57" s="92"/>
      <c r="R57" s="25" t="str">
        <f>+IFERROR(+TEXT(Summary!D29,"0.0%")&amp;" | "&amp;TEXT(Summary!E29/1000000,"$#,##0.0")&amp;" | "&amp;TEXT(Summary!F29,"0.0x")&amp;" | "&amp;TEXT(L38/1000000,"$#,##0.0"), "NA")</f>
        <v>NA</v>
      </c>
      <c r="S57" s="176">
        <v>8.5000000000000006E-2</v>
      </c>
      <c r="T57" s="26">
        <f t="shared" ref="T57:W57" si="11">+S57+$AA$8</f>
        <v>9.0000000000000011E-2</v>
      </c>
      <c r="U57" s="26">
        <f t="shared" si="11"/>
        <v>9.5000000000000015E-2</v>
      </c>
      <c r="V57" s="26">
        <f t="shared" si="11"/>
        <v>0.10000000000000002</v>
      </c>
      <c r="W57" s="106">
        <f t="shared" si="11"/>
        <v>0.10500000000000002</v>
      </c>
      <c r="X57" s="8"/>
      <c r="Z57" s="8"/>
      <c r="AA57" s="8"/>
      <c r="AE57" s="8"/>
      <c r="AF57" s="8"/>
      <c r="AG57" s="8"/>
    </row>
    <row r="58" spans="1:33" ht="15" customHeight="1" x14ac:dyDescent="0.35">
      <c r="B58" s="92" t="s">
        <v>156</v>
      </c>
      <c r="C58" s="21">
        <f t="shared" ref="C58:N58" si="12">+C57*365</f>
        <v>37595</v>
      </c>
      <c r="D58" s="21">
        <f t="shared" si="12"/>
        <v>37595</v>
      </c>
      <c r="E58" s="21">
        <f t="shared" si="12"/>
        <v>37595</v>
      </c>
      <c r="F58" s="21">
        <f t="shared" si="12"/>
        <v>37595</v>
      </c>
      <c r="G58" s="21">
        <f t="shared" si="12"/>
        <v>37595</v>
      </c>
      <c r="H58" s="21">
        <f t="shared" si="12"/>
        <v>37595</v>
      </c>
      <c r="I58" s="21">
        <f t="shared" si="12"/>
        <v>37595</v>
      </c>
      <c r="J58" s="21">
        <f t="shared" si="12"/>
        <v>37595</v>
      </c>
      <c r="K58" s="21">
        <f t="shared" si="12"/>
        <v>37595</v>
      </c>
      <c r="L58" s="21">
        <f t="shared" si="12"/>
        <v>37595</v>
      </c>
      <c r="M58" s="21">
        <f t="shared" si="12"/>
        <v>37595</v>
      </c>
      <c r="N58" s="103">
        <f t="shared" si="12"/>
        <v>37595</v>
      </c>
      <c r="O58" s="8"/>
      <c r="P58" s="8"/>
      <c r="Q58" s="108"/>
      <c r="R58" s="177">
        <v>0.65</v>
      </c>
      <c r="S58" s="27" t="s">
        <v>157</v>
      </c>
      <c r="T58" s="28" t="s">
        <v>158</v>
      </c>
      <c r="U58" s="28" t="s">
        <v>159</v>
      </c>
      <c r="V58" s="28" t="s">
        <v>160</v>
      </c>
      <c r="W58" s="29" t="s">
        <v>161</v>
      </c>
      <c r="X58" s="8"/>
      <c r="Z58" s="8"/>
      <c r="AA58" s="8"/>
      <c r="AE58" s="8"/>
      <c r="AF58" s="8"/>
      <c r="AG58" s="8"/>
    </row>
    <row r="59" spans="1:33" ht="15" customHeight="1" x14ac:dyDescent="0.35">
      <c r="B59" s="92" t="s">
        <v>162</v>
      </c>
      <c r="C59" s="8"/>
      <c r="D59" s="167">
        <v>0.5</v>
      </c>
      <c r="E59" s="167">
        <v>0.57999999999999996</v>
      </c>
      <c r="F59" s="167">
        <v>0.65</v>
      </c>
      <c r="G59" s="67">
        <f t="shared" ref="G59:N59" si="13">+F59</f>
        <v>0.65</v>
      </c>
      <c r="H59" s="67">
        <f t="shared" si="13"/>
        <v>0.65</v>
      </c>
      <c r="I59" s="67">
        <f t="shared" si="13"/>
        <v>0.65</v>
      </c>
      <c r="J59" s="67">
        <f t="shared" si="13"/>
        <v>0.65</v>
      </c>
      <c r="K59" s="67">
        <f t="shared" si="13"/>
        <v>0.65</v>
      </c>
      <c r="L59" s="67">
        <f t="shared" si="13"/>
        <v>0.65</v>
      </c>
      <c r="M59" s="67">
        <f t="shared" si="13"/>
        <v>0.65</v>
      </c>
      <c r="N59" s="129">
        <f t="shared" si="13"/>
        <v>0.65</v>
      </c>
      <c r="O59" s="8"/>
      <c r="P59" s="8"/>
      <c r="Q59" s="108"/>
      <c r="R59" s="43">
        <f t="shared" ref="R59:R62" si="14">+R58+$AC$54</f>
        <v>0.70000000000000007</v>
      </c>
      <c r="S59" s="32" t="s">
        <v>163</v>
      </c>
      <c r="T59" s="33" t="s">
        <v>164</v>
      </c>
      <c r="U59" s="33" t="s">
        <v>165</v>
      </c>
      <c r="V59" s="33" t="s">
        <v>166</v>
      </c>
      <c r="W59" s="34" t="s">
        <v>167</v>
      </c>
      <c r="X59" s="8"/>
      <c r="Z59" s="8"/>
      <c r="AA59" s="8"/>
      <c r="AB59" s="8"/>
      <c r="AC59" s="8"/>
      <c r="AD59" s="8"/>
      <c r="AE59" s="8"/>
      <c r="AF59" s="8"/>
      <c r="AG59" s="8"/>
    </row>
    <row r="60" spans="1:33" ht="15" customHeight="1" x14ac:dyDescent="0.35">
      <c r="B60" s="92" t="s">
        <v>168</v>
      </c>
      <c r="C60" s="8"/>
      <c r="D60" s="21">
        <f t="shared" ref="D60:N60" si="15">+D58*D59</f>
        <v>18797.5</v>
      </c>
      <c r="E60" s="21">
        <f t="shared" si="15"/>
        <v>21805.1</v>
      </c>
      <c r="F60" s="21">
        <f t="shared" si="15"/>
        <v>24436.75</v>
      </c>
      <c r="G60" s="21">
        <f t="shared" si="15"/>
        <v>24436.75</v>
      </c>
      <c r="H60" s="21">
        <f t="shared" si="15"/>
        <v>24436.75</v>
      </c>
      <c r="I60" s="21">
        <f t="shared" si="15"/>
        <v>24436.75</v>
      </c>
      <c r="J60" s="21">
        <f t="shared" si="15"/>
        <v>24436.75</v>
      </c>
      <c r="K60" s="21">
        <f t="shared" si="15"/>
        <v>24436.75</v>
      </c>
      <c r="L60" s="21">
        <f t="shared" si="15"/>
        <v>24436.75</v>
      </c>
      <c r="M60" s="21">
        <f t="shared" si="15"/>
        <v>24436.75</v>
      </c>
      <c r="N60" s="103">
        <f t="shared" si="15"/>
        <v>24436.75</v>
      </c>
      <c r="O60" s="8"/>
      <c r="P60" s="8"/>
      <c r="Q60" s="108"/>
      <c r="R60" s="43">
        <f t="shared" si="14"/>
        <v>0.75000000000000011</v>
      </c>
      <c r="S60" s="32" t="s">
        <v>169</v>
      </c>
      <c r="T60" s="33" t="s">
        <v>163</v>
      </c>
      <c r="U60" s="68" t="s">
        <v>170</v>
      </c>
      <c r="V60" s="33" t="s">
        <v>171</v>
      </c>
      <c r="W60" s="34" t="s">
        <v>172</v>
      </c>
      <c r="X60" s="8"/>
      <c r="Z60" s="8"/>
      <c r="AA60" s="8"/>
      <c r="AB60" s="8"/>
      <c r="AC60" s="8"/>
      <c r="AD60" s="8"/>
      <c r="AE60" s="8"/>
      <c r="AF60" s="8"/>
      <c r="AG60" s="8"/>
    </row>
    <row r="61" spans="1:33" ht="15" customHeight="1" x14ac:dyDescent="0.35">
      <c r="B61" s="92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93"/>
      <c r="O61" s="8"/>
      <c r="P61" s="8"/>
      <c r="Q61" s="108"/>
      <c r="R61" s="43">
        <f t="shared" si="14"/>
        <v>0.80000000000000016</v>
      </c>
      <c r="S61" s="32" t="s">
        <v>173</v>
      </c>
      <c r="T61" s="33" t="s">
        <v>174</v>
      </c>
      <c r="U61" s="33" t="s">
        <v>163</v>
      </c>
      <c r="V61" s="33" t="s">
        <v>175</v>
      </c>
      <c r="W61" s="34" t="s">
        <v>176</v>
      </c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spans="1:33" ht="15" customHeight="1" x14ac:dyDescent="0.35">
      <c r="B62" s="92" t="s">
        <v>177</v>
      </c>
      <c r="C62" s="8"/>
      <c r="D62" s="168">
        <v>103</v>
      </c>
      <c r="E62" s="69">
        <f t="shared" ref="E62:N62" si="16">+D62*(1+E63)</f>
        <v>106.60499999999999</v>
      </c>
      <c r="F62" s="69">
        <f t="shared" si="16"/>
        <v>110.33617499999998</v>
      </c>
      <c r="G62" s="69">
        <f t="shared" si="16"/>
        <v>114.19794112499997</v>
      </c>
      <c r="H62" s="69">
        <f t="shared" si="16"/>
        <v>118.19486906437496</v>
      </c>
      <c r="I62" s="69">
        <f t="shared" si="16"/>
        <v>122.33168948162808</v>
      </c>
      <c r="J62" s="69">
        <f t="shared" si="16"/>
        <v>126.61329861348504</v>
      </c>
      <c r="K62" s="69">
        <f t="shared" si="16"/>
        <v>131.04476406495701</v>
      </c>
      <c r="L62" s="69">
        <f t="shared" si="16"/>
        <v>135.63133080723048</v>
      </c>
      <c r="M62" s="69">
        <f t="shared" si="16"/>
        <v>140.37842738548355</v>
      </c>
      <c r="N62" s="130">
        <f t="shared" si="16"/>
        <v>145.29167234397545</v>
      </c>
      <c r="O62" s="8"/>
      <c r="P62" s="8"/>
      <c r="Q62" s="114"/>
      <c r="R62" s="121">
        <f t="shared" si="14"/>
        <v>0.8500000000000002</v>
      </c>
      <c r="S62" s="35" t="s">
        <v>178</v>
      </c>
      <c r="T62" s="36" t="s">
        <v>179</v>
      </c>
      <c r="U62" s="36" t="s">
        <v>180</v>
      </c>
      <c r="V62" s="36" t="s">
        <v>163</v>
      </c>
      <c r="W62" s="37" t="s">
        <v>181</v>
      </c>
      <c r="X62" s="8"/>
      <c r="Y62" s="8"/>
      <c r="Z62" s="8"/>
      <c r="AA62" s="8"/>
      <c r="AB62" s="8"/>
      <c r="AC62" s="8"/>
      <c r="AD62" s="8"/>
      <c r="AE62" s="8"/>
      <c r="AF62" s="8"/>
      <c r="AG62" s="8"/>
    </row>
    <row r="63" spans="1:33" ht="12.75" customHeight="1" x14ac:dyDescent="0.35">
      <c r="B63" s="92" t="s">
        <v>56</v>
      </c>
      <c r="C63" s="8"/>
      <c r="D63" s="8"/>
      <c r="E63" s="167">
        <v>3.5000000000000003E-2</v>
      </c>
      <c r="F63" s="167">
        <v>3.5000000000000003E-2</v>
      </c>
      <c r="G63" s="67">
        <f t="shared" ref="G63:N63" si="17">+F63</f>
        <v>3.5000000000000003E-2</v>
      </c>
      <c r="H63" s="67">
        <f t="shared" si="17"/>
        <v>3.5000000000000003E-2</v>
      </c>
      <c r="I63" s="67">
        <f t="shared" si="17"/>
        <v>3.5000000000000003E-2</v>
      </c>
      <c r="J63" s="67">
        <f t="shared" si="17"/>
        <v>3.5000000000000003E-2</v>
      </c>
      <c r="K63" s="67">
        <f t="shared" si="17"/>
        <v>3.5000000000000003E-2</v>
      </c>
      <c r="L63" s="67">
        <f t="shared" si="17"/>
        <v>3.5000000000000003E-2</v>
      </c>
      <c r="M63" s="67">
        <f t="shared" si="17"/>
        <v>3.5000000000000003E-2</v>
      </c>
      <c r="N63" s="129">
        <f t="shared" si="17"/>
        <v>3.5000000000000003E-2</v>
      </c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98" t="s">
        <v>182</v>
      </c>
      <c r="AB63" s="98"/>
      <c r="AC63" s="98" t="s">
        <v>183</v>
      </c>
      <c r="AD63" s="8"/>
      <c r="AE63" s="8"/>
      <c r="AF63" s="8"/>
      <c r="AG63" s="8"/>
    </row>
    <row r="64" spans="1:33" ht="15" customHeight="1" x14ac:dyDescent="0.35">
      <c r="B64" s="92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93"/>
      <c r="O64" s="8"/>
      <c r="P64" s="8"/>
      <c r="Q64" s="9" t="s">
        <v>4</v>
      </c>
      <c r="R64" s="10"/>
      <c r="S64" s="10"/>
      <c r="T64" s="10"/>
      <c r="U64" s="10"/>
      <c r="V64" s="10"/>
      <c r="W64" s="11"/>
      <c r="X64" s="8"/>
      <c r="Y64" s="8"/>
      <c r="Z64" s="8"/>
      <c r="AA64" s="22" t="s">
        <v>19</v>
      </c>
      <c r="AB64" s="8"/>
      <c r="AC64" s="22" t="s">
        <v>19</v>
      </c>
      <c r="AD64" s="8"/>
      <c r="AE64" s="8"/>
      <c r="AF64" s="8"/>
      <c r="AG64" s="8"/>
    </row>
    <row r="65" spans="2:33" ht="15" customHeight="1" x14ac:dyDescent="0.35">
      <c r="B65" s="92" t="s">
        <v>184</v>
      </c>
      <c r="C65" s="8"/>
      <c r="D65" s="45">
        <f>+'Annual Cash Flows'!H53/'Annual Cash Flows'!H30</f>
        <v>-0.18362669079004046</v>
      </c>
      <c r="E65" s="45">
        <f>+'Annual Cash Flows'!I53/'Annual Cash Flows'!I30</f>
        <v>-9.4076786469768192E-2</v>
      </c>
      <c r="F65" s="45">
        <f>+'Annual Cash Flows'!J53/'Annual Cash Flows'!J30</f>
        <v>-3.0646126957163455E-2</v>
      </c>
      <c r="G65" s="45">
        <f>+'Annual Cash Flows'!K53/'Annual Cash Flows'!K30</f>
        <v>-2.8384080163192375E-2</v>
      </c>
      <c r="H65" s="45">
        <f>+'Annual Cash Flows'!L53/'Annual Cash Flows'!L30</f>
        <v>-2.6131965419581987E-2</v>
      </c>
      <c r="I65" s="45">
        <f>+'Annual Cash Flows'!M53/'Annual Cash Flows'!M30</f>
        <v>-2.3889743689750303E-2</v>
      </c>
      <c r="J65" s="45">
        <f>+'Annual Cash Flows'!N53/'Annual Cash Flows'!N30</f>
        <v>-2.165737604833674E-2</v>
      </c>
      <c r="K65" s="45">
        <f>+'Annual Cash Flows'!O53/'Annual Cash Flows'!O30</f>
        <v>-1.9434823681293928E-2</v>
      </c>
      <c r="L65" s="45">
        <f>+'Annual Cash Flows'!P53/'Annual Cash Flows'!P30</f>
        <v>-1.7222047885971998E-2</v>
      </c>
      <c r="M65" s="45">
        <f>+'Annual Cash Flows'!Q53/'Annual Cash Flows'!Q30</f>
        <v>-1.5019010071201405E-2</v>
      </c>
      <c r="N65" s="131">
        <f>+'Annual Cash Flows'!R53/'Annual Cash Flows'!R30</f>
        <v>-1.2825671757367863E-2</v>
      </c>
      <c r="O65" s="8"/>
      <c r="P65" s="8"/>
      <c r="Q65" s="92"/>
      <c r="R65" s="8"/>
      <c r="S65" s="8"/>
      <c r="T65" s="8"/>
      <c r="U65" s="8"/>
      <c r="V65" s="8"/>
      <c r="W65" s="93"/>
      <c r="X65" s="8"/>
      <c r="Y65" s="8"/>
      <c r="Z65" s="8"/>
      <c r="AA65" s="182">
        <v>0.05</v>
      </c>
      <c r="AB65" s="8"/>
      <c r="AC65" s="182">
        <v>0.05</v>
      </c>
      <c r="AD65" s="8"/>
      <c r="AE65" s="8"/>
      <c r="AF65" s="8"/>
      <c r="AG65" s="8"/>
    </row>
    <row r="66" spans="2:33" ht="15" customHeight="1" x14ac:dyDescent="0.35">
      <c r="B66" s="92" t="s">
        <v>185</v>
      </c>
      <c r="C66" s="8"/>
      <c r="D66" s="45">
        <f>+'Annual Cash Flows'!H61/'Annual Cash Flows'!H30</f>
        <v>-0.30356974862377523</v>
      </c>
      <c r="E66" s="45">
        <f>+'Annual Cash Flows'!I61/'Annual Cash Flows'!I30</f>
        <v>-0.19728673887467335</v>
      </c>
      <c r="F66" s="45">
        <f>+'Annual Cash Flows'!J61/'Annual Cash Flows'!J30</f>
        <v>-0.1225742844870424</v>
      </c>
      <c r="G66" s="45">
        <f>+'Annual Cash Flows'!K61/'Annual Cash Flows'!K30</f>
        <v>-0.12014733795199335</v>
      </c>
      <c r="H66" s="45">
        <f>+'Annual Cash Flows'!L61/'Annual Cash Flows'!L30</f>
        <v>-0.11773229859850941</v>
      </c>
      <c r="I66" s="45">
        <f>+'Annual Cash Flows'!M61/'Annual Cash Flows'!M30</f>
        <v>-0.1153291253685497</v>
      </c>
      <c r="J66" s="45">
        <f>+'Annual Cash Flows'!N61/'Annual Cash Flows'!N30</f>
        <v>-0.11293777734536847</v>
      </c>
      <c r="K66" s="45">
        <f>+'Annual Cash Flows'!O61/'Annual Cash Flows'!O30</f>
        <v>-0.11055821375369308</v>
      </c>
      <c r="L66" s="45">
        <f>+'Annual Cash Flows'!P61/'Annual Cash Flows'!P30</f>
        <v>-0.10819039395989354</v>
      </c>
      <c r="M66" s="45">
        <f>+'Annual Cash Flows'!Q61/'Annual Cash Flows'!Q30</f>
        <v>-0.10583427747215111</v>
      </c>
      <c r="N66" s="131">
        <f>+'Annual Cash Flows'!R61/'Annual Cash Flows'!R30</f>
        <v>-0.10348982394061822</v>
      </c>
      <c r="O66" s="8"/>
      <c r="P66" s="8"/>
      <c r="Q66" s="97"/>
      <c r="R66" s="19" t="s">
        <v>186</v>
      </c>
      <c r="S66" s="8"/>
      <c r="T66" s="8"/>
      <c r="U66" s="8"/>
      <c r="V66" s="8"/>
      <c r="W66" s="93"/>
      <c r="X66" s="8"/>
      <c r="Y66" s="8"/>
      <c r="Z66" s="8"/>
      <c r="AA66" s="8"/>
      <c r="AB66" s="8"/>
      <c r="AC66" s="8"/>
      <c r="AD66" s="8"/>
      <c r="AE66" s="8"/>
      <c r="AF66" s="8"/>
      <c r="AG66" s="8"/>
    </row>
    <row r="67" spans="2:33" ht="15" customHeight="1" x14ac:dyDescent="0.35">
      <c r="B67" s="92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93"/>
      <c r="O67" s="8"/>
      <c r="P67" s="8"/>
      <c r="Q67" s="104"/>
      <c r="R67" s="354" t="s">
        <v>153</v>
      </c>
      <c r="S67" s="452" t="s">
        <v>187</v>
      </c>
      <c r="T67" s="453"/>
      <c r="U67" s="453"/>
      <c r="V67" s="453"/>
      <c r="W67" s="454"/>
      <c r="X67" s="8"/>
      <c r="Y67" s="8"/>
      <c r="Z67" s="8"/>
      <c r="AA67" s="8"/>
      <c r="AB67" s="8"/>
      <c r="AC67" s="8"/>
      <c r="AD67" s="8"/>
      <c r="AE67" s="8"/>
      <c r="AF67" s="8"/>
      <c r="AG67" s="8"/>
    </row>
    <row r="68" spans="2:33" ht="15" customHeight="1" x14ac:dyDescent="0.35">
      <c r="B68" s="92" t="s">
        <v>188</v>
      </c>
      <c r="C68" s="8"/>
      <c r="D68" s="169">
        <v>0</v>
      </c>
      <c r="E68" s="71">
        <f t="shared" ref="E68:N68" si="18">+D68*(1+E69)</f>
        <v>0</v>
      </c>
      <c r="F68" s="71">
        <f t="shared" si="18"/>
        <v>0</v>
      </c>
      <c r="G68" s="71">
        <f t="shared" si="18"/>
        <v>0</v>
      </c>
      <c r="H68" s="71">
        <f t="shared" si="18"/>
        <v>0</v>
      </c>
      <c r="I68" s="71">
        <f t="shared" si="18"/>
        <v>0</v>
      </c>
      <c r="J68" s="71">
        <f t="shared" si="18"/>
        <v>0</v>
      </c>
      <c r="K68" s="71">
        <f t="shared" si="18"/>
        <v>0</v>
      </c>
      <c r="L68" s="71">
        <f t="shared" si="18"/>
        <v>0</v>
      </c>
      <c r="M68" s="71">
        <f t="shared" si="18"/>
        <v>0</v>
      </c>
      <c r="N68" s="132">
        <f t="shared" si="18"/>
        <v>0</v>
      </c>
      <c r="O68" s="8"/>
      <c r="P68" s="8"/>
      <c r="Q68" s="92"/>
      <c r="R68" s="25" t="e">
        <f>+R8</f>
        <v>#NUM!</v>
      </c>
      <c r="S68" s="176">
        <v>0.65</v>
      </c>
      <c r="T68" s="26">
        <f t="shared" ref="T68:W68" si="19">+S68+$AA$65</f>
        <v>0.70000000000000007</v>
      </c>
      <c r="U68" s="26">
        <f t="shared" si="19"/>
        <v>0.75000000000000011</v>
      </c>
      <c r="V68" s="26">
        <f t="shared" si="19"/>
        <v>0.80000000000000016</v>
      </c>
      <c r="W68" s="106">
        <f t="shared" si="19"/>
        <v>0.8500000000000002</v>
      </c>
      <c r="X68" s="8"/>
      <c r="Y68" s="8"/>
      <c r="Z68" s="8"/>
      <c r="AA68" s="8"/>
      <c r="AB68" s="8"/>
      <c r="AC68" s="8"/>
      <c r="AD68" s="8"/>
      <c r="AE68" s="8"/>
      <c r="AF68" s="8"/>
      <c r="AG68" s="8"/>
    </row>
    <row r="69" spans="2:33" ht="15" customHeight="1" x14ac:dyDescent="0.35">
      <c r="B69" s="92" t="s">
        <v>189</v>
      </c>
      <c r="C69" s="8"/>
      <c r="D69" s="70"/>
      <c r="E69" s="170">
        <v>0.03</v>
      </c>
      <c r="F69" s="67">
        <f t="shared" ref="F69:N69" si="20">+E69</f>
        <v>0.03</v>
      </c>
      <c r="G69" s="67">
        <f t="shared" si="20"/>
        <v>0.03</v>
      </c>
      <c r="H69" s="67">
        <f t="shared" si="20"/>
        <v>0.03</v>
      </c>
      <c r="I69" s="67">
        <f t="shared" si="20"/>
        <v>0.03</v>
      </c>
      <c r="J69" s="67">
        <f t="shared" si="20"/>
        <v>0.03</v>
      </c>
      <c r="K69" s="67">
        <f t="shared" si="20"/>
        <v>0.03</v>
      </c>
      <c r="L69" s="67">
        <f t="shared" si="20"/>
        <v>0.03</v>
      </c>
      <c r="M69" s="67">
        <f t="shared" si="20"/>
        <v>0.03</v>
      </c>
      <c r="N69" s="129">
        <f t="shared" si="20"/>
        <v>0.03</v>
      </c>
      <c r="O69" s="8"/>
      <c r="P69" s="8"/>
      <c r="Q69" s="108"/>
      <c r="R69" s="177">
        <v>0.45</v>
      </c>
      <c r="S69" s="27" t="s">
        <v>190</v>
      </c>
      <c r="T69" s="28" t="s">
        <v>191</v>
      </c>
      <c r="U69" s="28" t="s">
        <v>192</v>
      </c>
      <c r="V69" s="28" t="s">
        <v>193</v>
      </c>
      <c r="W69" s="29" t="s">
        <v>194</v>
      </c>
      <c r="X69" s="8"/>
      <c r="Y69" s="8"/>
      <c r="Z69" s="8"/>
      <c r="AA69" s="8"/>
      <c r="AB69" s="8"/>
      <c r="AC69" s="8"/>
      <c r="AD69" s="8"/>
      <c r="AE69" s="8"/>
      <c r="AF69" s="8"/>
      <c r="AG69" s="8"/>
    </row>
    <row r="70" spans="2:33" ht="15" customHeight="1" x14ac:dyDescent="0.35">
      <c r="B70" s="92"/>
      <c r="C70" s="8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133"/>
      <c r="O70" s="8"/>
      <c r="P70" s="8"/>
      <c r="Q70" s="108"/>
      <c r="R70" s="43">
        <f t="shared" ref="R70:R73" si="21">+R69+$AC$65</f>
        <v>0.5</v>
      </c>
      <c r="S70" s="32" t="s">
        <v>195</v>
      </c>
      <c r="T70" s="33" t="s">
        <v>196</v>
      </c>
      <c r="U70" s="33" t="s">
        <v>197</v>
      </c>
      <c r="V70" s="33" t="s">
        <v>198</v>
      </c>
      <c r="W70" s="34" t="s">
        <v>199</v>
      </c>
      <c r="X70" s="8"/>
      <c r="Y70" s="8"/>
      <c r="Z70" s="8"/>
      <c r="AA70" s="8"/>
      <c r="AB70" s="8"/>
      <c r="AC70" s="8"/>
      <c r="AD70" s="8"/>
      <c r="AE70" s="8"/>
      <c r="AF70" s="8"/>
      <c r="AG70" s="8"/>
    </row>
    <row r="71" spans="2:33" ht="15" customHeight="1" x14ac:dyDescent="0.35">
      <c r="B71" s="92" t="s">
        <v>200</v>
      </c>
      <c r="C71" s="8"/>
      <c r="D71" s="169">
        <v>5</v>
      </c>
      <c r="E71" s="72">
        <f t="shared" ref="E71:N71" si="22">+D71*(1+E72)</f>
        <v>5.15</v>
      </c>
      <c r="F71" s="72">
        <f t="shared" si="22"/>
        <v>5.3045000000000009</v>
      </c>
      <c r="G71" s="72">
        <f t="shared" si="22"/>
        <v>5.4636350000000009</v>
      </c>
      <c r="H71" s="72">
        <f t="shared" si="22"/>
        <v>5.6275440500000009</v>
      </c>
      <c r="I71" s="72">
        <f t="shared" si="22"/>
        <v>5.796370371500001</v>
      </c>
      <c r="J71" s="72">
        <f t="shared" si="22"/>
        <v>5.9702614826450011</v>
      </c>
      <c r="K71" s="72">
        <f t="shared" si="22"/>
        <v>6.1493693271243517</v>
      </c>
      <c r="L71" s="72">
        <f t="shared" si="22"/>
        <v>6.3338504069380823</v>
      </c>
      <c r="M71" s="72">
        <f t="shared" si="22"/>
        <v>6.5238659191462247</v>
      </c>
      <c r="N71" s="134">
        <f t="shared" si="22"/>
        <v>6.7195818967206113</v>
      </c>
      <c r="O71" s="8"/>
      <c r="P71" s="8"/>
      <c r="Q71" s="108"/>
      <c r="R71" s="43">
        <f t="shared" si="21"/>
        <v>0.55000000000000004</v>
      </c>
      <c r="S71" s="32" t="s">
        <v>201</v>
      </c>
      <c r="T71" s="33" t="s">
        <v>202</v>
      </c>
      <c r="U71" s="33" t="s">
        <v>203</v>
      </c>
      <c r="V71" s="33" t="s">
        <v>204</v>
      </c>
      <c r="W71" s="34" t="s">
        <v>205</v>
      </c>
      <c r="X71" s="8"/>
      <c r="Y71" s="8"/>
      <c r="Z71" s="8"/>
      <c r="AA71" s="8"/>
      <c r="AB71" s="8"/>
      <c r="AC71" s="8"/>
      <c r="AD71" s="8"/>
      <c r="AE71" s="8"/>
      <c r="AF71" s="8"/>
      <c r="AG71" s="8"/>
    </row>
    <row r="72" spans="2:33" ht="15" customHeight="1" x14ac:dyDescent="0.35">
      <c r="B72" s="92" t="s">
        <v>189</v>
      </c>
      <c r="C72" s="8"/>
      <c r="D72" s="8"/>
      <c r="E72" s="170">
        <v>0.03</v>
      </c>
      <c r="F72" s="67">
        <f t="shared" ref="F72:N72" si="23">+E72</f>
        <v>0.03</v>
      </c>
      <c r="G72" s="67">
        <f t="shared" si="23"/>
        <v>0.03</v>
      </c>
      <c r="H72" s="67">
        <f t="shared" si="23"/>
        <v>0.03</v>
      </c>
      <c r="I72" s="67">
        <f t="shared" si="23"/>
        <v>0.03</v>
      </c>
      <c r="J72" s="67">
        <f t="shared" si="23"/>
        <v>0.03</v>
      </c>
      <c r="K72" s="67">
        <f t="shared" si="23"/>
        <v>0.03</v>
      </c>
      <c r="L72" s="67">
        <f t="shared" si="23"/>
        <v>0.03</v>
      </c>
      <c r="M72" s="67">
        <f t="shared" si="23"/>
        <v>0.03</v>
      </c>
      <c r="N72" s="129">
        <f t="shared" si="23"/>
        <v>0.03</v>
      </c>
      <c r="O72" s="8"/>
      <c r="P72" s="8"/>
      <c r="Q72" s="108"/>
      <c r="R72" s="43">
        <f t="shared" si="21"/>
        <v>0.60000000000000009</v>
      </c>
      <c r="S72" s="32" t="s">
        <v>206</v>
      </c>
      <c r="T72" s="33" t="s">
        <v>36</v>
      </c>
      <c r="U72" s="33" t="s">
        <v>207</v>
      </c>
      <c r="V72" s="33" t="s">
        <v>208</v>
      </c>
      <c r="W72" s="34" t="s">
        <v>209</v>
      </c>
      <c r="X72" s="8"/>
      <c r="Y72" s="8"/>
      <c r="Z72" s="8"/>
      <c r="AA72" s="8"/>
      <c r="AB72" s="8"/>
      <c r="AC72" s="8"/>
      <c r="AD72" s="8"/>
      <c r="AE72" s="8"/>
      <c r="AF72" s="8"/>
      <c r="AG72" s="8"/>
    </row>
    <row r="73" spans="2:33" ht="15" customHeight="1" x14ac:dyDescent="0.35">
      <c r="B73" s="92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93"/>
      <c r="O73" s="8"/>
      <c r="P73" s="8"/>
      <c r="Q73" s="114"/>
      <c r="R73" s="121">
        <f t="shared" si="21"/>
        <v>0.65000000000000013</v>
      </c>
      <c r="S73" s="35" t="s">
        <v>210</v>
      </c>
      <c r="T73" s="36" t="s">
        <v>211</v>
      </c>
      <c r="U73" s="36" t="s">
        <v>212</v>
      </c>
      <c r="V73" s="73" t="s">
        <v>213</v>
      </c>
      <c r="W73" s="37" t="s">
        <v>214</v>
      </c>
      <c r="X73" s="8"/>
      <c r="Y73" s="8"/>
      <c r="Z73" s="8"/>
      <c r="AA73" s="8"/>
      <c r="AB73" s="8"/>
      <c r="AC73" s="8"/>
      <c r="AD73" s="8"/>
      <c r="AE73" s="8"/>
      <c r="AF73" s="8"/>
      <c r="AG73" s="8"/>
    </row>
    <row r="74" spans="2:33" ht="12.75" customHeight="1" x14ac:dyDescent="0.35">
      <c r="B74" s="92" t="s">
        <v>215</v>
      </c>
      <c r="C74" s="8"/>
      <c r="D74" s="170">
        <v>0.5</v>
      </c>
      <c r="E74" s="67">
        <f t="shared" ref="E74:N74" si="24">+D74</f>
        <v>0.5</v>
      </c>
      <c r="F74" s="67">
        <f t="shared" si="24"/>
        <v>0.5</v>
      </c>
      <c r="G74" s="67">
        <f t="shared" si="24"/>
        <v>0.5</v>
      </c>
      <c r="H74" s="67">
        <f t="shared" si="24"/>
        <v>0.5</v>
      </c>
      <c r="I74" s="67">
        <f t="shared" si="24"/>
        <v>0.5</v>
      </c>
      <c r="J74" s="67">
        <f t="shared" si="24"/>
        <v>0.5</v>
      </c>
      <c r="K74" s="67">
        <f t="shared" si="24"/>
        <v>0.5</v>
      </c>
      <c r="L74" s="67">
        <f t="shared" si="24"/>
        <v>0.5</v>
      </c>
      <c r="M74" s="67">
        <f t="shared" si="24"/>
        <v>0.5</v>
      </c>
      <c r="N74" s="129">
        <f t="shared" si="24"/>
        <v>0.5</v>
      </c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</row>
    <row r="75" spans="2:33" ht="12.75" customHeight="1" x14ac:dyDescent="0.35">
      <c r="B75" s="92" t="s">
        <v>216</v>
      </c>
      <c r="C75" s="8"/>
      <c r="D75" s="170">
        <v>0.75</v>
      </c>
      <c r="E75" s="67">
        <f t="shared" ref="E75:N75" si="25">+D75</f>
        <v>0.75</v>
      </c>
      <c r="F75" s="67">
        <f t="shared" si="25"/>
        <v>0.75</v>
      </c>
      <c r="G75" s="67">
        <f t="shared" si="25"/>
        <v>0.75</v>
      </c>
      <c r="H75" s="67">
        <f t="shared" si="25"/>
        <v>0.75</v>
      </c>
      <c r="I75" s="67">
        <f t="shared" si="25"/>
        <v>0.75</v>
      </c>
      <c r="J75" s="67">
        <f t="shared" si="25"/>
        <v>0.75</v>
      </c>
      <c r="K75" s="67">
        <f t="shared" si="25"/>
        <v>0.75</v>
      </c>
      <c r="L75" s="67">
        <f t="shared" si="25"/>
        <v>0.75</v>
      </c>
      <c r="M75" s="67">
        <f t="shared" si="25"/>
        <v>0.75</v>
      </c>
      <c r="N75" s="129">
        <f t="shared" si="25"/>
        <v>0.75</v>
      </c>
      <c r="O75" s="8"/>
      <c r="P75" s="8"/>
      <c r="X75" s="8"/>
      <c r="Y75" s="8"/>
      <c r="Z75" s="8"/>
      <c r="AA75" s="8"/>
      <c r="AB75" s="8"/>
      <c r="AC75" s="8"/>
      <c r="AD75" s="8"/>
      <c r="AE75" s="8"/>
      <c r="AF75" s="8"/>
      <c r="AG75" s="8"/>
    </row>
    <row r="76" spans="2:33" ht="12.75" customHeight="1" x14ac:dyDescent="0.35">
      <c r="B76" s="92" t="s">
        <v>217</v>
      </c>
      <c r="C76" s="8"/>
      <c r="D76" s="170">
        <v>0.2</v>
      </c>
      <c r="E76" s="67">
        <f t="shared" ref="E76:N76" si="26">+D76</f>
        <v>0.2</v>
      </c>
      <c r="F76" s="67">
        <f t="shared" si="26"/>
        <v>0.2</v>
      </c>
      <c r="G76" s="67">
        <f t="shared" si="26"/>
        <v>0.2</v>
      </c>
      <c r="H76" s="67">
        <f t="shared" si="26"/>
        <v>0.2</v>
      </c>
      <c r="I76" s="67">
        <f t="shared" si="26"/>
        <v>0.2</v>
      </c>
      <c r="J76" s="67">
        <f t="shared" si="26"/>
        <v>0.2</v>
      </c>
      <c r="K76" s="67">
        <f t="shared" si="26"/>
        <v>0.2</v>
      </c>
      <c r="L76" s="67">
        <f t="shared" si="26"/>
        <v>0.2</v>
      </c>
      <c r="M76" s="67">
        <f t="shared" si="26"/>
        <v>0.2</v>
      </c>
      <c r="N76" s="129">
        <f t="shared" si="26"/>
        <v>0.2</v>
      </c>
      <c r="O76" s="8"/>
      <c r="P76" s="8"/>
      <c r="X76" s="8"/>
      <c r="Y76" s="8"/>
      <c r="Z76" s="8"/>
      <c r="AA76" s="8"/>
      <c r="AB76" s="8"/>
      <c r="AC76" s="8"/>
      <c r="AD76" s="8"/>
      <c r="AE76" s="8"/>
      <c r="AF76" s="8"/>
      <c r="AG76" s="8"/>
    </row>
    <row r="77" spans="2:33" ht="12.75" customHeight="1" x14ac:dyDescent="0.35">
      <c r="B77" s="92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93"/>
      <c r="O77" s="8"/>
      <c r="P77" s="8"/>
      <c r="X77" s="8"/>
      <c r="Y77" s="8"/>
      <c r="Z77" s="8"/>
      <c r="AA77" s="8"/>
      <c r="AB77" s="8"/>
      <c r="AC77" s="8"/>
      <c r="AD77" s="8"/>
      <c r="AE77" s="8"/>
      <c r="AF77" s="8"/>
      <c r="AG77" s="8"/>
    </row>
    <row r="78" spans="2:33" ht="12.75" customHeight="1" x14ac:dyDescent="0.35">
      <c r="B78" s="92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93"/>
      <c r="O78" s="8"/>
      <c r="P78" s="8"/>
      <c r="X78" s="8"/>
      <c r="Y78" s="8"/>
      <c r="Z78" s="8"/>
      <c r="AA78" s="8"/>
      <c r="AB78" s="8"/>
      <c r="AC78" s="8"/>
      <c r="AD78" s="8"/>
      <c r="AE78" s="8"/>
      <c r="AF78" s="8"/>
      <c r="AG78" s="8"/>
    </row>
    <row r="79" spans="2:33" ht="12.75" customHeight="1" x14ac:dyDescent="0.35">
      <c r="B79" s="92" t="s">
        <v>218</v>
      </c>
      <c r="C79" s="8"/>
      <c r="D79" s="171">
        <v>5973.6698113207549</v>
      </c>
      <c r="E79" s="21">
        <f t="shared" ref="E79:N79" si="27">+D79*(1+E80)</f>
        <v>6176.198113207548</v>
      </c>
      <c r="F79" s="21">
        <f t="shared" si="27"/>
        <v>6361.4840566037747</v>
      </c>
      <c r="G79" s="21">
        <f t="shared" si="27"/>
        <v>6552.3285783018882</v>
      </c>
      <c r="H79" s="21">
        <f t="shared" si="27"/>
        <v>6748.8984356509454</v>
      </c>
      <c r="I79" s="21">
        <f t="shared" si="27"/>
        <v>6951.3653887204737</v>
      </c>
      <c r="J79" s="21">
        <f t="shared" si="27"/>
        <v>7159.906350382088</v>
      </c>
      <c r="K79" s="21">
        <f t="shared" si="27"/>
        <v>7374.7035408935508</v>
      </c>
      <c r="L79" s="21">
        <f t="shared" si="27"/>
        <v>7595.9446471203573</v>
      </c>
      <c r="M79" s="21">
        <f t="shared" si="27"/>
        <v>7823.8229865339681</v>
      </c>
      <c r="N79" s="103">
        <f t="shared" si="27"/>
        <v>8058.5376761299876</v>
      </c>
      <c r="O79" s="8"/>
      <c r="P79" s="8"/>
      <c r="X79" s="8"/>
      <c r="Y79" s="8"/>
      <c r="Z79" s="8"/>
      <c r="AA79" s="8"/>
      <c r="AB79" s="8"/>
      <c r="AC79" s="8"/>
      <c r="AD79" s="8"/>
      <c r="AE79" s="8"/>
      <c r="AF79" s="8"/>
      <c r="AG79" s="8"/>
    </row>
    <row r="80" spans="2:33" ht="12.75" customHeight="1" x14ac:dyDescent="0.35">
      <c r="B80" s="92" t="s">
        <v>219</v>
      </c>
      <c r="C80" s="8"/>
      <c r="D80" s="21"/>
      <c r="E80" s="170">
        <v>3.3903497897218804E-2</v>
      </c>
      <c r="F80" s="170">
        <v>0.03</v>
      </c>
      <c r="G80" s="67">
        <f t="shared" ref="G80:N80" si="28">+F80</f>
        <v>0.03</v>
      </c>
      <c r="H80" s="67">
        <f t="shared" si="28"/>
        <v>0.03</v>
      </c>
      <c r="I80" s="67">
        <f t="shared" si="28"/>
        <v>0.03</v>
      </c>
      <c r="J80" s="67">
        <f t="shared" si="28"/>
        <v>0.03</v>
      </c>
      <c r="K80" s="67">
        <f t="shared" si="28"/>
        <v>0.03</v>
      </c>
      <c r="L80" s="67">
        <f t="shared" si="28"/>
        <v>0.03</v>
      </c>
      <c r="M80" s="67">
        <f t="shared" si="28"/>
        <v>0.03</v>
      </c>
      <c r="N80" s="129">
        <f t="shared" si="28"/>
        <v>0.03</v>
      </c>
      <c r="O80" s="8"/>
      <c r="P80" s="8"/>
      <c r="X80" s="8"/>
      <c r="Y80" s="8"/>
      <c r="Z80" s="8"/>
      <c r="AA80" s="8"/>
      <c r="AB80" s="8"/>
      <c r="AC80" s="8"/>
      <c r="AD80" s="8"/>
      <c r="AE80" s="8"/>
      <c r="AF80" s="8"/>
      <c r="AG80" s="8"/>
    </row>
    <row r="81" spans="2:33" ht="12.75" customHeight="1" x14ac:dyDescent="0.35">
      <c r="B81" s="92"/>
      <c r="C81" s="8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103"/>
      <c r="O81" s="8"/>
      <c r="P81" s="8"/>
      <c r="X81" s="8"/>
      <c r="Y81" s="8"/>
      <c r="Z81" s="8"/>
      <c r="AA81" s="8"/>
      <c r="AB81" s="8"/>
      <c r="AC81" s="8"/>
      <c r="AD81" s="8"/>
      <c r="AE81" s="8"/>
      <c r="AF81" s="8"/>
      <c r="AG81" s="8"/>
    </row>
    <row r="82" spans="2:33" ht="12.75" customHeight="1" x14ac:dyDescent="0.35">
      <c r="B82" s="92" t="s">
        <v>220</v>
      </c>
      <c r="C82" s="8"/>
      <c r="D82" s="171">
        <v>1440.4528301886792</v>
      </c>
      <c r="E82" s="21">
        <f t="shared" ref="E82:N82" si="29">+D82*(1+E83)</f>
        <v>1497.8301886792456</v>
      </c>
      <c r="F82" s="21">
        <f t="shared" si="29"/>
        <v>1542.7650943396229</v>
      </c>
      <c r="G82" s="21">
        <f t="shared" si="29"/>
        <v>1589.0480471698118</v>
      </c>
      <c r="H82" s="21">
        <f t="shared" si="29"/>
        <v>1636.7194885849062</v>
      </c>
      <c r="I82" s="21">
        <f t="shared" si="29"/>
        <v>1685.8210732424534</v>
      </c>
      <c r="J82" s="21">
        <f t="shared" si="29"/>
        <v>1736.395705439727</v>
      </c>
      <c r="K82" s="21">
        <f t="shared" si="29"/>
        <v>1788.4875766029188</v>
      </c>
      <c r="L82" s="21">
        <f t="shared" si="29"/>
        <v>1842.1422039010065</v>
      </c>
      <c r="M82" s="21">
        <f t="shared" si="29"/>
        <v>1897.4064700180368</v>
      </c>
      <c r="N82" s="103">
        <f t="shared" si="29"/>
        <v>1954.328664118578</v>
      </c>
      <c r="O82" s="8"/>
      <c r="P82" s="8"/>
      <c r="X82" s="8"/>
      <c r="Y82" s="8"/>
      <c r="Z82" s="8"/>
      <c r="AA82" s="8"/>
      <c r="AB82" s="8"/>
      <c r="AC82" s="8"/>
      <c r="AD82" s="8"/>
      <c r="AE82" s="8"/>
      <c r="AF82" s="8"/>
      <c r="AG82" s="8"/>
    </row>
    <row r="83" spans="2:33" ht="12.75" customHeight="1" x14ac:dyDescent="0.35">
      <c r="B83" s="92"/>
      <c r="C83" s="8"/>
      <c r="D83" s="21"/>
      <c r="E83" s="170">
        <v>3.9832861783506424E-2</v>
      </c>
      <c r="F83" s="170">
        <v>0.03</v>
      </c>
      <c r="G83" s="67">
        <f t="shared" ref="G83:N83" si="30">+F83</f>
        <v>0.03</v>
      </c>
      <c r="H83" s="67">
        <f t="shared" si="30"/>
        <v>0.03</v>
      </c>
      <c r="I83" s="67">
        <f t="shared" si="30"/>
        <v>0.03</v>
      </c>
      <c r="J83" s="67">
        <f t="shared" si="30"/>
        <v>0.03</v>
      </c>
      <c r="K83" s="67">
        <f t="shared" si="30"/>
        <v>0.03</v>
      </c>
      <c r="L83" s="67">
        <f t="shared" si="30"/>
        <v>0.03</v>
      </c>
      <c r="M83" s="67">
        <f t="shared" si="30"/>
        <v>0.03</v>
      </c>
      <c r="N83" s="129">
        <f t="shared" si="30"/>
        <v>0.03</v>
      </c>
      <c r="O83" s="8"/>
      <c r="P83" s="8"/>
      <c r="X83" s="8"/>
      <c r="Y83" s="8"/>
      <c r="Z83" s="8"/>
      <c r="AA83" s="8"/>
      <c r="AB83" s="8"/>
      <c r="AC83" s="8"/>
      <c r="AD83" s="8"/>
      <c r="AE83" s="8"/>
      <c r="AF83" s="8"/>
      <c r="AG83" s="8"/>
    </row>
    <row r="84" spans="2:33" ht="12.75" customHeight="1" x14ac:dyDescent="0.35">
      <c r="B84" s="92"/>
      <c r="C84" s="8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103"/>
      <c r="O84" s="8"/>
      <c r="P84" s="8"/>
      <c r="X84" s="8"/>
      <c r="Y84" s="8"/>
      <c r="Z84" s="8"/>
      <c r="AA84" s="8"/>
      <c r="AB84" s="8"/>
      <c r="AC84" s="8"/>
      <c r="AD84" s="8"/>
      <c r="AE84" s="8"/>
      <c r="AF84" s="8"/>
      <c r="AG84" s="8"/>
    </row>
    <row r="85" spans="2:33" ht="12.75" customHeight="1" x14ac:dyDescent="0.35">
      <c r="B85" s="92" t="s">
        <v>221</v>
      </c>
      <c r="C85" s="8"/>
      <c r="D85" s="172">
        <v>100</v>
      </c>
      <c r="E85" s="21">
        <f t="shared" ref="E85:N85" si="31">+D85*(1+E86)</f>
        <v>104.18297841829785</v>
      </c>
      <c r="F85" s="21">
        <f t="shared" si="31"/>
        <v>107.30846777084679</v>
      </c>
      <c r="G85" s="21">
        <f t="shared" si="31"/>
        <v>110.5277218039722</v>
      </c>
      <c r="H85" s="21">
        <f t="shared" si="31"/>
        <v>113.84355345809136</v>
      </c>
      <c r="I85" s="21">
        <f t="shared" si="31"/>
        <v>117.25886006183411</v>
      </c>
      <c r="J85" s="21">
        <f t="shared" si="31"/>
        <v>120.77662586368913</v>
      </c>
      <c r="K85" s="21">
        <f t="shared" si="31"/>
        <v>124.39992463959982</v>
      </c>
      <c r="L85" s="21">
        <f t="shared" si="31"/>
        <v>128.13192237878781</v>
      </c>
      <c r="M85" s="21">
        <f t="shared" si="31"/>
        <v>131.97588005015143</v>
      </c>
      <c r="N85" s="103">
        <f t="shared" si="31"/>
        <v>135.93515645165598</v>
      </c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</row>
    <row r="86" spans="2:33" ht="12.75" customHeight="1" x14ac:dyDescent="0.35">
      <c r="B86" s="92"/>
      <c r="C86" s="8"/>
      <c r="D86" s="21"/>
      <c r="E86" s="167">
        <v>4.1829784182978447E-2</v>
      </c>
      <c r="F86" s="167">
        <v>0.03</v>
      </c>
      <c r="G86" s="67">
        <f t="shared" ref="G86:N86" si="32">+F86</f>
        <v>0.03</v>
      </c>
      <c r="H86" s="67">
        <f t="shared" si="32"/>
        <v>0.03</v>
      </c>
      <c r="I86" s="67">
        <f t="shared" si="32"/>
        <v>0.03</v>
      </c>
      <c r="J86" s="67">
        <f t="shared" si="32"/>
        <v>0.03</v>
      </c>
      <c r="K86" s="67">
        <f t="shared" si="32"/>
        <v>0.03</v>
      </c>
      <c r="L86" s="67">
        <f t="shared" si="32"/>
        <v>0.03</v>
      </c>
      <c r="M86" s="67">
        <f t="shared" si="32"/>
        <v>0.03</v>
      </c>
      <c r="N86" s="129">
        <f t="shared" si="32"/>
        <v>0.03</v>
      </c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</row>
    <row r="87" spans="2:33" ht="12.75" customHeight="1" x14ac:dyDescent="0.35">
      <c r="B87" s="92"/>
      <c r="C87" s="8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103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</row>
    <row r="88" spans="2:33" ht="12.75" customHeight="1" x14ac:dyDescent="0.35">
      <c r="B88" s="92" t="s">
        <v>222</v>
      </c>
      <c r="C88" s="8"/>
      <c r="D88" s="171">
        <v>3454.1132075471696</v>
      </c>
      <c r="E88" s="21">
        <f t="shared" ref="E88:N88" si="33">+D88*(1+E89)</f>
        <v>3598.5943396226417</v>
      </c>
      <c r="F88" s="21">
        <f t="shared" si="33"/>
        <v>3706.5521698113212</v>
      </c>
      <c r="G88" s="21">
        <f t="shared" si="33"/>
        <v>3817.748734905661</v>
      </c>
      <c r="H88" s="21">
        <f t="shared" si="33"/>
        <v>3932.2811969528311</v>
      </c>
      <c r="I88" s="21">
        <f t="shared" si="33"/>
        <v>4050.2496328614161</v>
      </c>
      <c r="J88" s="21">
        <f t="shared" si="33"/>
        <v>4171.7571218472585</v>
      </c>
      <c r="K88" s="21">
        <f t="shared" si="33"/>
        <v>4296.9098355026763</v>
      </c>
      <c r="L88" s="21">
        <f t="shared" si="33"/>
        <v>4425.817130567757</v>
      </c>
      <c r="M88" s="21">
        <f t="shared" si="33"/>
        <v>4558.5916444847899</v>
      </c>
      <c r="N88" s="103">
        <f t="shared" si="33"/>
        <v>4695.3493938193333</v>
      </c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</row>
    <row r="89" spans="2:33" ht="12.75" customHeight="1" x14ac:dyDescent="0.35">
      <c r="B89" s="92"/>
      <c r="C89" s="8"/>
      <c r="D89" s="21"/>
      <c r="E89" s="170">
        <v>4.1828719382961621E-2</v>
      </c>
      <c r="F89" s="170">
        <v>0.03</v>
      </c>
      <c r="G89" s="67">
        <f t="shared" ref="G89:N89" si="34">+F89</f>
        <v>0.03</v>
      </c>
      <c r="H89" s="67">
        <f t="shared" si="34"/>
        <v>0.03</v>
      </c>
      <c r="I89" s="67">
        <f t="shared" si="34"/>
        <v>0.03</v>
      </c>
      <c r="J89" s="67">
        <f t="shared" si="34"/>
        <v>0.03</v>
      </c>
      <c r="K89" s="67">
        <f t="shared" si="34"/>
        <v>0.03</v>
      </c>
      <c r="L89" s="67">
        <f t="shared" si="34"/>
        <v>0.03</v>
      </c>
      <c r="M89" s="67">
        <f t="shared" si="34"/>
        <v>0.03</v>
      </c>
      <c r="N89" s="129">
        <f t="shared" si="34"/>
        <v>0.03</v>
      </c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</row>
    <row r="90" spans="2:33" ht="12.75" customHeight="1" x14ac:dyDescent="0.35">
      <c r="B90" s="92"/>
      <c r="C90" s="8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103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</row>
    <row r="91" spans="2:33" ht="12.75" customHeight="1" x14ac:dyDescent="0.35">
      <c r="B91" s="92" t="s">
        <v>223</v>
      </c>
      <c r="C91" s="8"/>
      <c r="D91" s="171">
        <v>1991.3962264150944</v>
      </c>
      <c r="E91" s="21">
        <f t="shared" ref="E91:N91" si="35">+D91*(1+E92)</f>
        <v>2058.9150943396226</v>
      </c>
      <c r="F91" s="21">
        <f t="shared" si="35"/>
        <v>2120.6825471698112</v>
      </c>
      <c r="G91" s="21">
        <f t="shared" si="35"/>
        <v>2184.3030235849055</v>
      </c>
      <c r="H91" s="21">
        <f t="shared" si="35"/>
        <v>2249.8321142924528</v>
      </c>
      <c r="I91" s="21">
        <f t="shared" si="35"/>
        <v>2317.3270777212265</v>
      </c>
      <c r="J91" s="21">
        <f t="shared" si="35"/>
        <v>2386.8468900528633</v>
      </c>
      <c r="K91" s="21">
        <f t="shared" si="35"/>
        <v>2458.4522967544494</v>
      </c>
      <c r="L91" s="21">
        <f t="shared" si="35"/>
        <v>2532.205865657083</v>
      </c>
      <c r="M91" s="21">
        <f t="shared" si="35"/>
        <v>2608.1720416267954</v>
      </c>
      <c r="N91" s="103">
        <f t="shared" si="35"/>
        <v>2686.4172028755993</v>
      </c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</row>
    <row r="92" spans="2:33" ht="12.75" customHeight="1" x14ac:dyDescent="0.35">
      <c r="B92" s="92"/>
      <c r="C92" s="8"/>
      <c r="D92" s="8"/>
      <c r="E92" s="170">
        <v>3.3905290684453915E-2</v>
      </c>
      <c r="F92" s="170">
        <v>0.03</v>
      </c>
      <c r="G92" s="67">
        <f t="shared" ref="G92:N92" si="36">+F92</f>
        <v>0.03</v>
      </c>
      <c r="H92" s="67">
        <f t="shared" si="36"/>
        <v>0.03</v>
      </c>
      <c r="I92" s="67">
        <f t="shared" si="36"/>
        <v>0.03</v>
      </c>
      <c r="J92" s="67">
        <f t="shared" si="36"/>
        <v>0.03</v>
      </c>
      <c r="K92" s="67">
        <f t="shared" si="36"/>
        <v>0.03</v>
      </c>
      <c r="L92" s="67">
        <f t="shared" si="36"/>
        <v>0.03</v>
      </c>
      <c r="M92" s="67">
        <f t="shared" si="36"/>
        <v>0.03</v>
      </c>
      <c r="N92" s="129">
        <f t="shared" si="36"/>
        <v>0.03</v>
      </c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</row>
    <row r="93" spans="2:33" ht="12.75" customHeight="1" x14ac:dyDescent="0.35">
      <c r="B93" s="92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93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</row>
    <row r="94" spans="2:33" ht="12.75" customHeight="1" x14ac:dyDescent="0.35">
      <c r="B94" s="92" t="s">
        <v>224</v>
      </c>
      <c r="C94" s="8"/>
      <c r="D94" s="167">
        <v>0.04</v>
      </c>
      <c r="E94" s="167">
        <v>0.04</v>
      </c>
      <c r="F94" s="67">
        <f t="shared" ref="F94:N94" si="37">+E94</f>
        <v>0.04</v>
      </c>
      <c r="G94" s="67">
        <f t="shared" si="37"/>
        <v>0.04</v>
      </c>
      <c r="H94" s="67">
        <f t="shared" si="37"/>
        <v>0.04</v>
      </c>
      <c r="I94" s="67">
        <f t="shared" si="37"/>
        <v>0.04</v>
      </c>
      <c r="J94" s="67">
        <f t="shared" si="37"/>
        <v>0.04</v>
      </c>
      <c r="K94" s="67">
        <f t="shared" si="37"/>
        <v>0.04</v>
      </c>
      <c r="L94" s="67">
        <f t="shared" si="37"/>
        <v>0.04</v>
      </c>
      <c r="M94" s="67">
        <f t="shared" si="37"/>
        <v>0.04</v>
      </c>
      <c r="N94" s="129">
        <f t="shared" si="37"/>
        <v>0.04</v>
      </c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</row>
    <row r="95" spans="2:33" ht="12.75" customHeight="1" x14ac:dyDescent="0.35">
      <c r="B95" s="92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93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</row>
    <row r="96" spans="2:33" ht="12.75" customHeight="1" x14ac:dyDescent="0.35">
      <c r="B96" s="92" t="s">
        <v>225</v>
      </c>
      <c r="C96" s="8"/>
      <c r="D96" s="173">
        <v>160000</v>
      </c>
      <c r="E96" s="21">
        <f t="shared" ref="E96:N96" si="38">+D96*(1+E97)</f>
        <v>164800</v>
      </c>
      <c r="F96" s="21">
        <f t="shared" si="38"/>
        <v>169744</v>
      </c>
      <c r="G96" s="21">
        <f t="shared" si="38"/>
        <v>174836.32</v>
      </c>
      <c r="H96" s="21">
        <f t="shared" si="38"/>
        <v>180081.40960000001</v>
      </c>
      <c r="I96" s="21">
        <f t="shared" si="38"/>
        <v>185483.851888</v>
      </c>
      <c r="J96" s="21">
        <f t="shared" si="38"/>
        <v>191048.36744464</v>
      </c>
      <c r="K96" s="21">
        <f t="shared" si="38"/>
        <v>196779.8184679792</v>
      </c>
      <c r="L96" s="21">
        <f t="shared" si="38"/>
        <v>202683.21302201858</v>
      </c>
      <c r="M96" s="21">
        <f t="shared" si="38"/>
        <v>208763.70941267913</v>
      </c>
      <c r="N96" s="103">
        <f t="shared" si="38"/>
        <v>215026.62069505951</v>
      </c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</row>
    <row r="97" spans="2:33" ht="12.75" customHeight="1" x14ac:dyDescent="0.35">
      <c r="B97" s="92"/>
      <c r="C97" s="8"/>
      <c r="D97" s="21"/>
      <c r="E97" s="170">
        <v>0.03</v>
      </c>
      <c r="F97" s="67">
        <f t="shared" ref="F97:N97" si="39">+E97</f>
        <v>0.03</v>
      </c>
      <c r="G97" s="67">
        <f t="shared" si="39"/>
        <v>0.03</v>
      </c>
      <c r="H97" s="67">
        <f t="shared" si="39"/>
        <v>0.03</v>
      </c>
      <c r="I97" s="67">
        <f t="shared" si="39"/>
        <v>0.03</v>
      </c>
      <c r="J97" s="67">
        <f t="shared" si="39"/>
        <v>0.03</v>
      </c>
      <c r="K97" s="67">
        <f t="shared" si="39"/>
        <v>0.03</v>
      </c>
      <c r="L97" s="67">
        <f t="shared" si="39"/>
        <v>0.03</v>
      </c>
      <c r="M97" s="67">
        <f t="shared" si="39"/>
        <v>0.03</v>
      </c>
      <c r="N97" s="129">
        <f t="shared" si="39"/>
        <v>0.03</v>
      </c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</row>
    <row r="98" spans="2:33" ht="12.75" customHeight="1" x14ac:dyDescent="0.35">
      <c r="B98" s="92"/>
      <c r="C98" s="8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103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</row>
    <row r="99" spans="2:33" ht="12.75" customHeight="1" x14ac:dyDescent="0.35">
      <c r="B99" s="92" t="s">
        <v>226</v>
      </c>
      <c r="C99" s="8"/>
      <c r="D99" s="172">
        <v>13500</v>
      </c>
      <c r="E99" s="21">
        <f t="shared" ref="E99:N99" si="40">+D99*(1+E100)</f>
        <v>13905</v>
      </c>
      <c r="F99" s="21">
        <f t="shared" si="40"/>
        <v>14322.15</v>
      </c>
      <c r="G99" s="21">
        <f t="shared" si="40"/>
        <v>14751.8145</v>
      </c>
      <c r="H99" s="21">
        <f t="shared" si="40"/>
        <v>15194.368935</v>
      </c>
      <c r="I99" s="21">
        <f t="shared" si="40"/>
        <v>15650.20000305</v>
      </c>
      <c r="J99" s="21">
        <f t="shared" si="40"/>
        <v>16119.7060031415</v>
      </c>
      <c r="K99" s="21">
        <f t="shared" si="40"/>
        <v>16603.297183235747</v>
      </c>
      <c r="L99" s="21">
        <f t="shared" si="40"/>
        <v>17101.396098732821</v>
      </c>
      <c r="M99" s="21">
        <f t="shared" si="40"/>
        <v>17614.437981694806</v>
      </c>
      <c r="N99" s="103">
        <f t="shared" si="40"/>
        <v>18142.87112114565</v>
      </c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</row>
    <row r="100" spans="2:33" ht="12.75" customHeight="1" x14ac:dyDescent="0.35">
      <c r="B100" s="92"/>
      <c r="C100" s="8"/>
      <c r="D100" s="21"/>
      <c r="E100" s="167">
        <v>0.03</v>
      </c>
      <c r="F100" s="67">
        <f t="shared" ref="F100:N100" si="41">+E100</f>
        <v>0.03</v>
      </c>
      <c r="G100" s="67">
        <f t="shared" si="41"/>
        <v>0.03</v>
      </c>
      <c r="H100" s="67">
        <f t="shared" si="41"/>
        <v>0.03</v>
      </c>
      <c r="I100" s="67">
        <f t="shared" si="41"/>
        <v>0.03</v>
      </c>
      <c r="J100" s="67">
        <f t="shared" si="41"/>
        <v>0.03</v>
      </c>
      <c r="K100" s="67">
        <f t="shared" si="41"/>
        <v>0.03</v>
      </c>
      <c r="L100" s="67">
        <f t="shared" si="41"/>
        <v>0.03</v>
      </c>
      <c r="M100" s="67">
        <f t="shared" si="41"/>
        <v>0.03</v>
      </c>
      <c r="N100" s="129">
        <f t="shared" si="41"/>
        <v>0.03</v>
      </c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</row>
    <row r="101" spans="2:33" ht="12.75" customHeight="1" x14ac:dyDescent="0.35">
      <c r="B101" s="92"/>
      <c r="C101" s="8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103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</row>
    <row r="102" spans="2:33" ht="12.75" customHeight="1" x14ac:dyDescent="0.35">
      <c r="B102" s="92" t="s">
        <v>227</v>
      </c>
      <c r="C102" s="8"/>
      <c r="D102" s="172">
        <v>70000</v>
      </c>
      <c r="E102" s="21">
        <f t="shared" ref="E102:N102" si="42">+D102*(1+E103)</f>
        <v>72800</v>
      </c>
      <c r="F102" s="21">
        <f t="shared" si="42"/>
        <v>75712</v>
      </c>
      <c r="G102" s="21">
        <f t="shared" si="42"/>
        <v>78740.479999999996</v>
      </c>
      <c r="H102" s="21">
        <f t="shared" si="42"/>
        <v>81890.099199999997</v>
      </c>
      <c r="I102" s="21">
        <f t="shared" si="42"/>
        <v>85165.703167999993</v>
      </c>
      <c r="J102" s="21">
        <f t="shared" si="42"/>
        <v>88572.331294719988</v>
      </c>
      <c r="K102" s="21">
        <f t="shared" si="42"/>
        <v>92115.224546508791</v>
      </c>
      <c r="L102" s="21">
        <f t="shared" si="42"/>
        <v>95799.833528369141</v>
      </c>
      <c r="M102" s="21">
        <f t="shared" si="42"/>
        <v>99631.826869503915</v>
      </c>
      <c r="N102" s="103">
        <f t="shared" si="42"/>
        <v>103617.09994428407</v>
      </c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</row>
    <row r="103" spans="2:33" ht="12.75" customHeight="1" x14ac:dyDescent="0.35">
      <c r="B103" s="120"/>
      <c r="C103" s="112"/>
      <c r="D103" s="112"/>
      <c r="E103" s="174">
        <v>0.04</v>
      </c>
      <c r="F103" s="174">
        <v>0.04</v>
      </c>
      <c r="G103" s="174">
        <v>0.04</v>
      </c>
      <c r="H103" s="135">
        <f t="shared" ref="H103:N103" si="43">+G103</f>
        <v>0.04</v>
      </c>
      <c r="I103" s="135">
        <f t="shared" si="43"/>
        <v>0.04</v>
      </c>
      <c r="J103" s="135">
        <f t="shared" si="43"/>
        <v>0.04</v>
      </c>
      <c r="K103" s="135">
        <f t="shared" si="43"/>
        <v>0.04</v>
      </c>
      <c r="L103" s="135">
        <f t="shared" si="43"/>
        <v>0.04</v>
      </c>
      <c r="M103" s="135">
        <f t="shared" si="43"/>
        <v>0.04</v>
      </c>
      <c r="N103" s="136">
        <f t="shared" si="43"/>
        <v>0.04</v>
      </c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</row>
    <row r="104" spans="2:33" ht="12.75" customHeight="1" x14ac:dyDescent="0.35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</row>
    <row r="105" spans="2:33" ht="12.75" customHeight="1" x14ac:dyDescent="0.3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</row>
    <row r="106" spans="2:33" ht="12.75" customHeight="1" x14ac:dyDescent="0.35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</row>
    <row r="107" spans="2:33" ht="12.75" customHeight="1" x14ac:dyDescent="0.35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</row>
    <row r="108" spans="2:33" ht="12.75" customHeight="1" x14ac:dyDescent="0.35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</row>
    <row r="109" spans="2:33" ht="12.75" customHeight="1" x14ac:dyDescent="0.35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</row>
    <row r="110" spans="2:33" ht="12.75" customHeight="1" x14ac:dyDescent="0.35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</row>
    <row r="111" spans="2:33" ht="12.75" customHeight="1" x14ac:dyDescent="0.35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</row>
    <row r="112" spans="2:33" ht="12.75" customHeight="1" x14ac:dyDescent="0.35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</row>
    <row r="113" spans="2:33" ht="12.75" customHeight="1" x14ac:dyDescent="0.35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</row>
    <row r="114" spans="2:33" ht="12.75" customHeight="1" x14ac:dyDescent="0.35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</row>
    <row r="115" spans="2:33" ht="12.75" customHeight="1" x14ac:dyDescent="0.3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</row>
    <row r="116" spans="2:33" ht="12.75" customHeight="1" x14ac:dyDescent="0.35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</row>
    <row r="117" spans="2:33" ht="12.75" customHeight="1" x14ac:dyDescent="0.35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</row>
    <row r="118" spans="2:33" ht="12.75" customHeight="1" x14ac:dyDescent="0.35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</row>
    <row r="119" spans="2:33" ht="12.75" customHeight="1" x14ac:dyDescent="0.35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</row>
    <row r="120" spans="2:33" ht="12.75" customHeight="1" x14ac:dyDescent="0.35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</row>
    <row r="121" spans="2:33" ht="12.75" customHeight="1" x14ac:dyDescent="0.35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</row>
    <row r="122" spans="2:33" ht="12.75" customHeight="1" x14ac:dyDescent="0.35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</row>
    <row r="123" spans="2:33" ht="12.75" customHeight="1" x14ac:dyDescent="0.35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</row>
    <row r="124" spans="2:33" ht="12.75" customHeight="1" x14ac:dyDescent="0.35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</row>
    <row r="125" spans="2:33" ht="12.75" customHeight="1" x14ac:dyDescent="0.3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</row>
    <row r="126" spans="2:33" ht="12.75" customHeight="1" x14ac:dyDescent="0.35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</row>
    <row r="127" spans="2:33" ht="12.75" customHeight="1" x14ac:dyDescent="0.35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</row>
    <row r="128" spans="2:33" ht="12.75" customHeight="1" x14ac:dyDescent="0.35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</row>
    <row r="129" spans="2:33" ht="12.75" customHeight="1" x14ac:dyDescent="0.35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</row>
    <row r="130" spans="2:33" ht="12.75" customHeight="1" x14ac:dyDescent="0.3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</row>
    <row r="131" spans="2:33" ht="12.75" customHeight="1" x14ac:dyDescent="0.3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</row>
    <row r="132" spans="2:33" ht="12.75" customHeight="1" x14ac:dyDescent="0.3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</row>
    <row r="133" spans="2:33" ht="12.75" customHeight="1" x14ac:dyDescent="0.3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</row>
    <row r="134" spans="2:33" ht="12.75" customHeight="1" x14ac:dyDescent="0.3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</row>
    <row r="135" spans="2:33" ht="12.75" customHeight="1" x14ac:dyDescent="0.3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</row>
    <row r="136" spans="2:33" ht="12.75" customHeight="1" x14ac:dyDescent="0.35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</row>
    <row r="137" spans="2:33" ht="12.75" customHeight="1" x14ac:dyDescent="0.35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</row>
    <row r="138" spans="2:33" ht="12.75" customHeight="1" x14ac:dyDescent="0.35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</row>
    <row r="139" spans="2:33" ht="12.75" customHeight="1" x14ac:dyDescent="0.35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</row>
    <row r="140" spans="2:33" ht="12.75" customHeight="1" x14ac:dyDescent="0.35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</row>
    <row r="141" spans="2:33" ht="12.75" customHeight="1" x14ac:dyDescent="0.35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</row>
    <row r="142" spans="2:33" ht="12.75" customHeight="1" x14ac:dyDescent="0.35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</row>
    <row r="143" spans="2:33" ht="12.75" customHeight="1" x14ac:dyDescent="0.35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</row>
    <row r="144" spans="2:33" ht="12.75" customHeight="1" x14ac:dyDescent="0.35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</row>
    <row r="145" spans="2:33" ht="12.75" customHeight="1" x14ac:dyDescent="0.3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</row>
    <row r="146" spans="2:33" ht="12.75" customHeight="1" x14ac:dyDescent="0.35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</row>
    <row r="147" spans="2:33" ht="12.75" customHeight="1" x14ac:dyDescent="0.35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</row>
    <row r="148" spans="2:33" ht="12.75" customHeight="1" x14ac:dyDescent="0.35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</row>
    <row r="149" spans="2:33" ht="12.75" customHeight="1" x14ac:dyDescent="0.35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</row>
    <row r="150" spans="2:33" ht="12.75" customHeight="1" x14ac:dyDescent="0.35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</row>
    <row r="151" spans="2:33" ht="12.75" customHeight="1" x14ac:dyDescent="0.3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</row>
    <row r="152" spans="2:33" ht="12.75" customHeight="1" x14ac:dyDescent="0.35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</row>
    <row r="153" spans="2:33" ht="12.75" customHeight="1" x14ac:dyDescent="0.35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</row>
    <row r="154" spans="2:33" ht="12.75" customHeight="1" x14ac:dyDescent="0.35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</row>
    <row r="155" spans="2:33" ht="12.75" customHeight="1" x14ac:dyDescent="0.3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</row>
    <row r="156" spans="2:33" ht="12.75" customHeight="1" x14ac:dyDescent="0.35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</row>
    <row r="157" spans="2:33" ht="12.75" customHeight="1" x14ac:dyDescent="0.3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</row>
    <row r="158" spans="2:33" ht="12.75" customHeight="1" x14ac:dyDescent="0.35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</row>
    <row r="159" spans="2:33" ht="12.75" customHeight="1" x14ac:dyDescent="0.35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</row>
    <row r="160" spans="2:33" ht="12.75" customHeight="1" x14ac:dyDescent="0.35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</row>
    <row r="161" spans="2:33" ht="12.75" customHeight="1" x14ac:dyDescent="0.3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</row>
    <row r="162" spans="2:33" ht="12.75" customHeight="1" x14ac:dyDescent="0.3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</row>
    <row r="163" spans="2:33" ht="12.75" customHeight="1" x14ac:dyDescent="0.35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</row>
    <row r="164" spans="2:33" ht="12.75" customHeight="1" x14ac:dyDescent="0.35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</row>
    <row r="165" spans="2:33" ht="12.75" customHeight="1" x14ac:dyDescent="0.3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</row>
    <row r="166" spans="2:33" ht="12.75" customHeight="1" x14ac:dyDescent="0.35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</row>
    <row r="167" spans="2:33" ht="12.75" customHeight="1" x14ac:dyDescent="0.35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</row>
    <row r="168" spans="2:33" ht="12.75" customHeight="1" x14ac:dyDescent="0.35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</row>
    <row r="169" spans="2:33" ht="12.75" customHeight="1" x14ac:dyDescent="0.35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</row>
    <row r="170" spans="2:33" ht="12.75" customHeight="1" x14ac:dyDescent="0.35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</row>
    <row r="171" spans="2:33" ht="12.75" customHeight="1" x14ac:dyDescent="0.35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</row>
    <row r="172" spans="2:33" ht="12.75" customHeight="1" x14ac:dyDescent="0.35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</row>
    <row r="173" spans="2:33" ht="12.75" customHeight="1" x14ac:dyDescent="0.35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</row>
    <row r="174" spans="2:33" ht="12.75" customHeight="1" x14ac:dyDescent="0.35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</row>
    <row r="175" spans="2:33" ht="12.75" customHeight="1" x14ac:dyDescent="0.3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</row>
    <row r="176" spans="2:33" ht="12.75" customHeight="1" x14ac:dyDescent="0.35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</row>
    <row r="177" spans="2:33" ht="12.75" customHeight="1" x14ac:dyDescent="0.35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</row>
    <row r="178" spans="2:33" ht="12.75" customHeight="1" x14ac:dyDescent="0.35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</row>
    <row r="179" spans="2:33" ht="12.75" customHeight="1" x14ac:dyDescent="0.35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</row>
    <row r="180" spans="2:33" ht="12.75" customHeight="1" x14ac:dyDescent="0.35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</row>
    <row r="181" spans="2:33" ht="12.75" customHeight="1" x14ac:dyDescent="0.35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</row>
    <row r="182" spans="2:33" ht="12.75" customHeight="1" x14ac:dyDescent="0.35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</row>
    <row r="183" spans="2:33" ht="12.75" customHeight="1" x14ac:dyDescent="0.35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</row>
    <row r="184" spans="2:33" ht="12.75" customHeight="1" x14ac:dyDescent="0.35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</row>
    <row r="185" spans="2:33" ht="12.75" customHeight="1" x14ac:dyDescent="0.3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</row>
    <row r="186" spans="2:33" ht="12.75" customHeight="1" x14ac:dyDescent="0.35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</row>
    <row r="187" spans="2:33" ht="12.75" customHeight="1" x14ac:dyDescent="0.35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</row>
    <row r="188" spans="2:33" ht="12.75" customHeight="1" x14ac:dyDescent="0.35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</row>
    <row r="189" spans="2:33" ht="12.75" customHeight="1" x14ac:dyDescent="0.35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</row>
    <row r="190" spans="2:33" ht="12.75" customHeight="1" x14ac:dyDescent="0.35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</row>
    <row r="191" spans="2:33" ht="12.75" customHeight="1" x14ac:dyDescent="0.35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</row>
    <row r="192" spans="2:33" ht="12.75" customHeight="1" x14ac:dyDescent="0.35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</row>
    <row r="193" spans="2:33" ht="12.75" customHeight="1" x14ac:dyDescent="0.35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</row>
    <row r="194" spans="2:33" ht="12.75" customHeight="1" x14ac:dyDescent="0.35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</row>
    <row r="195" spans="2:33" ht="12.75" customHeight="1" x14ac:dyDescent="0.3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</row>
    <row r="196" spans="2:33" ht="12.75" customHeight="1" x14ac:dyDescent="0.35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</row>
    <row r="197" spans="2:33" ht="12.75" customHeight="1" x14ac:dyDescent="0.35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</row>
    <row r="198" spans="2:33" ht="12.75" customHeight="1" x14ac:dyDescent="0.35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</row>
    <row r="199" spans="2:33" ht="12.75" customHeight="1" x14ac:dyDescent="0.35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</row>
    <row r="200" spans="2:33" ht="12.75" customHeight="1" x14ac:dyDescent="0.35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</row>
    <row r="201" spans="2:33" ht="12.75" customHeight="1" x14ac:dyDescent="0.35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</row>
    <row r="202" spans="2:33" ht="12.75" customHeight="1" x14ac:dyDescent="0.35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</row>
    <row r="203" spans="2:33" ht="12.75" customHeight="1" x14ac:dyDescent="0.35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</row>
    <row r="204" spans="2:33" ht="12.75" customHeight="1" x14ac:dyDescent="0.35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</row>
    <row r="205" spans="2:33" ht="12.75" customHeight="1" x14ac:dyDescent="0.3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</row>
    <row r="206" spans="2:33" ht="12.75" customHeight="1" x14ac:dyDescent="0.35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</row>
    <row r="207" spans="2:33" ht="12.75" customHeight="1" x14ac:dyDescent="0.35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</row>
    <row r="208" spans="2:33" ht="12.75" customHeight="1" x14ac:dyDescent="0.35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</row>
    <row r="209" spans="2:33" ht="12.75" customHeight="1" x14ac:dyDescent="0.35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</row>
    <row r="210" spans="2:33" ht="12.75" customHeight="1" x14ac:dyDescent="0.35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</row>
    <row r="211" spans="2:33" ht="12.75" customHeight="1" x14ac:dyDescent="0.35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</row>
    <row r="212" spans="2:33" ht="12.75" customHeight="1" x14ac:dyDescent="0.35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</row>
    <row r="213" spans="2:33" ht="12.75" customHeight="1" x14ac:dyDescent="0.35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</row>
    <row r="214" spans="2:33" ht="12.75" customHeight="1" x14ac:dyDescent="0.35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</row>
    <row r="215" spans="2:33" ht="12.75" customHeight="1" x14ac:dyDescent="0.3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</row>
    <row r="216" spans="2:33" ht="12.75" customHeight="1" x14ac:dyDescent="0.35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</row>
    <row r="217" spans="2:33" ht="12.75" customHeight="1" x14ac:dyDescent="0.35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</row>
    <row r="218" spans="2:33" ht="12.75" customHeight="1" x14ac:dyDescent="0.35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</row>
    <row r="219" spans="2:33" ht="12.75" customHeight="1" x14ac:dyDescent="0.35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</row>
    <row r="220" spans="2:33" ht="12.75" customHeight="1" x14ac:dyDescent="0.35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</row>
    <row r="221" spans="2:33" ht="12.75" customHeight="1" x14ac:dyDescent="0.35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</row>
    <row r="222" spans="2:33" ht="12.75" customHeight="1" x14ac:dyDescent="0.35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</row>
    <row r="223" spans="2:33" ht="12.75" customHeight="1" x14ac:dyDescent="0.35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</row>
    <row r="224" spans="2:33" ht="12.75" customHeight="1" x14ac:dyDescent="0.35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</row>
    <row r="225" spans="2:33" ht="12.75" customHeight="1" x14ac:dyDescent="0.3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</row>
    <row r="226" spans="2:33" ht="12.75" customHeight="1" x14ac:dyDescent="0.35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</row>
    <row r="227" spans="2:33" ht="12.75" customHeight="1" x14ac:dyDescent="0.35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</row>
    <row r="228" spans="2:33" ht="12.75" customHeight="1" x14ac:dyDescent="0.35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</row>
    <row r="229" spans="2:33" ht="12.75" customHeight="1" x14ac:dyDescent="0.35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</row>
    <row r="230" spans="2:33" ht="12.75" customHeight="1" x14ac:dyDescent="0.35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</row>
    <row r="231" spans="2:33" ht="12.75" customHeight="1" x14ac:dyDescent="0.35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</row>
    <row r="232" spans="2:33" ht="12.75" customHeight="1" x14ac:dyDescent="0.35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</row>
    <row r="233" spans="2:33" ht="12.75" customHeight="1" x14ac:dyDescent="0.35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</row>
    <row r="234" spans="2:33" ht="12.75" customHeight="1" x14ac:dyDescent="0.35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</row>
    <row r="235" spans="2:33" ht="12.75" customHeight="1" x14ac:dyDescent="0.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</row>
    <row r="236" spans="2:33" ht="12.75" customHeight="1" x14ac:dyDescent="0.35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</row>
    <row r="237" spans="2:33" ht="12.75" customHeight="1" x14ac:dyDescent="0.35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</row>
    <row r="238" spans="2:33" ht="12.75" customHeight="1" x14ac:dyDescent="0.35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</row>
    <row r="239" spans="2:33" ht="12.75" customHeight="1" x14ac:dyDescent="0.35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</row>
    <row r="240" spans="2:33" ht="12.75" customHeight="1" x14ac:dyDescent="0.35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</row>
    <row r="241" spans="2:33" ht="12.75" customHeight="1" x14ac:dyDescent="0.35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</row>
    <row r="242" spans="2:33" ht="12.75" customHeight="1" x14ac:dyDescent="0.35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</row>
    <row r="243" spans="2:33" ht="12.75" customHeight="1" x14ac:dyDescent="0.35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</row>
    <row r="244" spans="2:33" ht="12.75" customHeight="1" x14ac:dyDescent="0.35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</row>
    <row r="245" spans="2:33" ht="12.75" customHeight="1" x14ac:dyDescent="0.3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</row>
    <row r="246" spans="2:33" ht="12.75" customHeight="1" x14ac:dyDescent="0.35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</row>
    <row r="247" spans="2:33" ht="12.75" customHeight="1" x14ac:dyDescent="0.35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</row>
    <row r="248" spans="2:33" ht="12.75" customHeight="1" x14ac:dyDescent="0.35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</row>
    <row r="249" spans="2:33" ht="12.75" customHeight="1" x14ac:dyDescent="0.35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</row>
    <row r="250" spans="2:33" ht="12.75" customHeight="1" x14ac:dyDescent="0.35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</row>
    <row r="251" spans="2:33" ht="12.75" customHeight="1" x14ac:dyDescent="0.35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</row>
    <row r="252" spans="2:33" ht="12.75" customHeight="1" x14ac:dyDescent="0.35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</row>
    <row r="253" spans="2:33" ht="12.75" customHeight="1" x14ac:dyDescent="0.35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</row>
    <row r="254" spans="2:33" ht="12.75" customHeight="1" x14ac:dyDescent="0.35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</row>
    <row r="255" spans="2:33" ht="12.75" customHeight="1" x14ac:dyDescent="0.3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</row>
    <row r="256" spans="2:33" ht="12.75" customHeight="1" x14ac:dyDescent="0.35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</row>
    <row r="257" spans="2:33" ht="12.75" customHeight="1" x14ac:dyDescent="0.35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</row>
    <row r="258" spans="2:33" ht="12.75" customHeight="1" x14ac:dyDescent="0.35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</row>
    <row r="259" spans="2:33" ht="12.75" customHeight="1" x14ac:dyDescent="0.35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</row>
    <row r="260" spans="2:33" ht="12.75" customHeight="1" x14ac:dyDescent="0.35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</row>
    <row r="261" spans="2:33" ht="12.75" customHeight="1" x14ac:dyDescent="0.35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</row>
    <row r="262" spans="2:33" ht="12.75" customHeight="1" x14ac:dyDescent="0.35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</row>
    <row r="263" spans="2:33" ht="12.75" customHeight="1" x14ac:dyDescent="0.35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</row>
    <row r="264" spans="2:33" ht="12.75" customHeight="1" x14ac:dyDescent="0.35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</row>
    <row r="265" spans="2:33" ht="12.75" customHeight="1" x14ac:dyDescent="0.3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</row>
    <row r="266" spans="2:33" ht="12.75" customHeight="1" x14ac:dyDescent="0.35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</row>
    <row r="267" spans="2:33" ht="12.75" customHeight="1" x14ac:dyDescent="0.35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</row>
    <row r="268" spans="2:33" ht="12.75" customHeight="1" x14ac:dyDescent="0.35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</row>
    <row r="269" spans="2:33" ht="12.75" customHeight="1" x14ac:dyDescent="0.35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</row>
    <row r="270" spans="2:33" ht="12.75" customHeight="1" x14ac:dyDescent="0.35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</row>
    <row r="271" spans="2:33" ht="12.75" customHeight="1" x14ac:dyDescent="0.35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</row>
    <row r="272" spans="2:33" ht="12.75" customHeight="1" x14ac:dyDescent="0.35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</row>
    <row r="273" spans="2:33" ht="12.75" customHeight="1" x14ac:dyDescent="0.35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</row>
    <row r="274" spans="2:33" ht="12.75" customHeight="1" x14ac:dyDescent="0.35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</row>
    <row r="275" spans="2:33" ht="12.75" customHeight="1" x14ac:dyDescent="0.3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</row>
    <row r="276" spans="2:33" ht="12.75" customHeight="1" x14ac:dyDescent="0.35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</row>
    <row r="277" spans="2:33" ht="12.75" customHeight="1" x14ac:dyDescent="0.35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</row>
    <row r="278" spans="2:33" ht="12.75" customHeight="1" x14ac:dyDescent="0.35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</row>
    <row r="279" spans="2:33" ht="12.75" customHeight="1" x14ac:dyDescent="0.35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</row>
    <row r="280" spans="2:33" ht="12.75" customHeight="1" x14ac:dyDescent="0.35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</row>
    <row r="281" spans="2:33" ht="12.75" customHeight="1" x14ac:dyDescent="0.35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</row>
    <row r="282" spans="2:33" ht="12.75" customHeight="1" x14ac:dyDescent="0.35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</row>
    <row r="283" spans="2:33" ht="12.75" customHeight="1" x14ac:dyDescent="0.35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</row>
    <row r="284" spans="2:33" ht="12.75" customHeight="1" x14ac:dyDescent="0.35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</row>
    <row r="285" spans="2:33" ht="12.75" customHeight="1" x14ac:dyDescent="0.3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</row>
    <row r="286" spans="2:33" ht="12.75" customHeight="1" x14ac:dyDescent="0.35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</row>
    <row r="287" spans="2:33" ht="12.75" customHeight="1" x14ac:dyDescent="0.35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</row>
    <row r="288" spans="2:33" ht="12.75" customHeight="1" x14ac:dyDescent="0.35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</row>
    <row r="289" spans="2:33" ht="12.75" customHeight="1" x14ac:dyDescent="0.35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</row>
    <row r="290" spans="2:33" ht="12.75" customHeight="1" x14ac:dyDescent="0.35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</row>
    <row r="291" spans="2:33" ht="12.75" customHeight="1" x14ac:dyDescent="0.35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</row>
    <row r="292" spans="2:33" ht="12.75" customHeight="1" x14ac:dyDescent="0.35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</row>
    <row r="293" spans="2:33" ht="12.75" customHeight="1" x14ac:dyDescent="0.35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</row>
    <row r="294" spans="2:33" ht="12.75" customHeight="1" x14ac:dyDescent="0.35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</row>
    <row r="295" spans="2:33" ht="12.75" customHeight="1" x14ac:dyDescent="0.3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</row>
    <row r="296" spans="2:33" ht="12.75" customHeight="1" x14ac:dyDescent="0.35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</row>
    <row r="297" spans="2:33" ht="12.75" customHeight="1" x14ac:dyDescent="0.35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</row>
    <row r="298" spans="2:33" ht="12.75" customHeight="1" x14ac:dyDescent="0.35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</row>
    <row r="299" spans="2:33" ht="12.75" customHeight="1" x14ac:dyDescent="0.35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</row>
    <row r="300" spans="2:33" ht="12.75" customHeight="1" x14ac:dyDescent="0.35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</row>
    <row r="301" spans="2:33" ht="12.75" customHeight="1" x14ac:dyDescent="0.35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</row>
    <row r="302" spans="2:33" ht="12.75" customHeight="1" x14ac:dyDescent="0.35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</row>
    <row r="303" spans="2:33" ht="12.75" customHeight="1" x14ac:dyDescent="0.35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</row>
    <row r="304" spans="2:33" ht="12.75" customHeight="1" x14ac:dyDescent="0.35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</row>
    <row r="305" spans="2:33" ht="12.75" customHeight="1" x14ac:dyDescent="0.3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</row>
    <row r="306" spans="2:33" ht="12.75" customHeight="1" x14ac:dyDescent="0.35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</row>
    <row r="307" spans="2:33" ht="12.75" customHeight="1" x14ac:dyDescent="0.35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</row>
    <row r="308" spans="2:33" ht="12.75" customHeight="1" x14ac:dyDescent="0.35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</row>
    <row r="309" spans="2:33" ht="12.75" customHeight="1" x14ac:dyDescent="0.35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</row>
    <row r="310" spans="2:33" ht="12.75" customHeight="1" x14ac:dyDescent="0.35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</row>
    <row r="311" spans="2:33" ht="12.75" customHeight="1" x14ac:dyDescent="0.35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</row>
    <row r="312" spans="2:33" ht="12.75" customHeight="1" x14ac:dyDescent="0.35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</row>
    <row r="313" spans="2:33" ht="12.75" customHeight="1" x14ac:dyDescent="0.35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</row>
    <row r="314" spans="2:33" ht="12.75" customHeight="1" x14ac:dyDescent="0.35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</row>
    <row r="315" spans="2:33" ht="12.75" customHeight="1" x14ac:dyDescent="0.3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</row>
    <row r="316" spans="2:33" ht="12.75" customHeight="1" x14ac:dyDescent="0.35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</row>
    <row r="317" spans="2:33" ht="12.75" customHeight="1" x14ac:dyDescent="0.35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</row>
    <row r="318" spans="2:33" ht="12.75" customHeight="1" x14ac:dyDescent="0.35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</row>
    <row r="319" spans="2:33" ht="12.75" customHeight="1" x14ac:dyDescent="0.35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</row>
    <row r="320" spans="2:33" ht="12.75" customHeight="1" x14ac:dyDescent="0.35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</row>
    <row r="321" spans="2:33" ht="12.75" customHeight="1" x14ac:dyDescent="0.35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</row>
    <row r="322" spans="2:33" ht="12.75" customHeight="1" x14ac:dyDescent="0.35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</row>
    <row r="323" spans="2:33" ht="12.75" customHeight="1" x14ac:dyDescent="0.35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</row>
    <row r="324" spans="2:33" ht="12.75" customHeight="1" x14ac:dyDescent="0.35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</row>
    <row r="325" spans="2:33" ht="12.75" customHeight="1" x14ac:dyDescent="0.3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</row>
    <row r="326" spans="2:33" ht="12.75" customHeight="1" x14ac:dyDescent="0.35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</row>
    <row r="327" spans="2:33" ht="12.75" customHeight="1" x14ac:dyDescent="0.35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</row>
    <row r="328" spans="2:33" ht="12.75" customHeight="1" x14ac:dyDescent="0.35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</row>
    <row r="329" spans="2:33" ht="12.75" customHeight="1" x14ac:dyDescent="0.35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</row>
    <row r="330" spans="2:33" ht="12.75" customHeight="1" x14ac:dyDescent="0.35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</row>
    <row r="331" spans="2:33" ht="12.75" customHeight="1" x14ac:dyDescent="0.35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</row>
    <row r="332" spans="2:33" ht="12.75" customHeight="1" x14ac:dyDescent="0.35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</row>
    <row r="333" spans="2:33" ht="12.75" customHeight="1" x14ac:dyDescent="0.35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</row>
    <row r="334" spans="2:33" ht="12.75" customHeight="1" x14ac:dyDescent="0.35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</row>
    <row r="335" spans="2:33" ht="12.75" customHeight="1" x14ac:dyDescent="0.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</row>
    <row r="336" spans="2:33" ht="12.75" customHeight="1" x14ac:dyDescent="0.35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</row>
    <row r="337" spans="2:33" ht="12.75" customHeight="1" x14ac:dyDescent="0.35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</row>
    <row r="338" spans="2:33" ht="12.75" customHeight="1" x14ac:dyDescent="0.35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</row>
    <row r="339" spans="2:33" ht="12.75" customHeight="1" x14ac:dyDescent="0.35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</row>
    <row r="340" spans="2:33" ht="12.75" customHeight="1" x14ac:dyDescent="0.35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</row>
    <row r="341" spans="2:33" ht="12.75" customHeight="1" x14ac:dyDescent="0.35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</row>
    <row r="342" spans="2:33" ht="12.75" customHeight="1" x14ac:dyDescent="0.35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</row>
    <row r="343" spans="2:33" ht="12.75" customHeight="1" x14ac:dyDescent="0.35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</row>
    <row r="344" spans="2:33" ht="12.75" customHeight="1" x14ac:dyDescent="0.35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</row>
    <row r="345" spans="2:33" ht="12.75" customHeight="1" x14ac:dyDescent="0.3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</row>
    <row r="346" spans="2:33" ht="12.75" customHeight="1" x14ac:dyDescent="0.35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</row>
    <row r="347" spans="2:33" ht="12.75" customHeight="1" x14ac:dyDescent="0.35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</row>
    <row r="348" spans="2:33" ht="12.75" customHeight="1" x14ac:dyDescent="0.35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</row>
    <row r="349" spans="2:33" ht="12.75" customHeight="1" x14ac:dyDescent="0.35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</row>
    <row r="350" spans="2:33" ht="12.75" customHeight="1" x14ac:dyDescent="0.35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</row>
    <row r="351" spans="2:33" ht="12.75" customHeight="1" x14ac:dyDescent="0.35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</row>
    <row r="352" spans="2:33" ht="12.75" customHeight="1" x14ac:dyDescent="0.35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</row>
    <row r="353" spans="2:33" ht="12.75" customHeight="1" x14ac:dyDescent="0.35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</row>
    <row r="354" spans="2:33" ht="12.75" customHeight="1" x14ac:dyDescent="0.35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</row>
    <row r="355" spans="2:33" ht="12.75" customHeight="1" x14ac:dyDescent="0.3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</row>
    <row r="356" spans="2:33" ht="12.75" customHeight="1" x14ac:dyDescent="0.35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</row>
    <row r="357" spans="2:33" ht="12.75" customHeight="1" x14ac:dyDescent="0.35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</row>
    <row r="358" spans="2:33" ht="12.75" customHeight="1" x14ac:dyDescent="0.35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</row>
    <row r="359" spans="2:33" ht="12.75" customHeight="1" x14ac:dyDescent="0.35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</row>
    <row r="360" spans="2:33" ht="12.75" customHeight="1" x14ac:dyDescent="0.35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</row>
    <row r="361" spans="2:33" ht="12.75" customHeight="1" x14ac:dyDescent="0.35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</row>
    <row r="362" spans="2:33" ht="12.75" customHeight="1" x14ac:dyDescent="0.35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</row>
    <row r="363" spans="2:33" ht="12.75" customHeight="1" x14ac:dyDescent="0.35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</row>
    <row r="364" spans="2:33" ht="12.75" customHeight="1" x14ac:dyDescent="0.35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</row>
    <row r="365" spans="2:33" ht="12.75" customHeight="1" x14ac:dyDescent="0.3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</row>
    <row r="366" spans="2:33" ht="12.75" customHeight="1" x14ac:dyDescent="0.35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</row>
    <row r="367" spans="2:33" ht="12.75" customHeight="1" x14ac:dyDescent="0.35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</row>
    <row r="368" spans="2:33" ht="12.75" customHeight="1" x14ac:dyDescent="0.35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</row>
    <row r="369" spans="2:33" ht="12.75" customHeight="1" x14ac:dyDescent="0.35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</row>
    <row r="370" spans="2:33" ht="12.75" customHeight="1" x14ac:dyDescent="0.35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</row>
    <row r="371" spans="2:33" ht="12.75" customHeight="1" x14ac:dyDescent="0.35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</row>
    <row r="372" spans="2:33" ht="12.75" customHeight="1" x14ac:dyDescent="0.35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</row>
    <row r="373" spans="2:33" ht="12.75" customHeight="1" x14ac:dyDescent="0.35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</row>
    <row r="374" spans="2:33" ht="12.75" customHeight="1" x14ac:dyDescent="0.35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</row>
    <row r="375" spans="2:33" ht="12.75" customHeight="1" x14ac:dyDescent="0.3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</row>
    <row r="376" spans="2:33" ht="12.75" customHeight="1" x14ac:dyDescent="0.35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</row>
    <row r="377" spans="2:33" ht="12.75" customHeight="1" x14ac:dyDescent="0.35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</row>
    <row r="378" spans="2:33" ht="12.75" customHeight="1" x14ac:dyDescent="0.35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</row>
    <row r="379" spans="2:33" ht="12.75" customHeight="1" x14ac:dyDescent="0.35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</row>
    <row r="380" spans="2:33" ht="12.75" customHeight="1" x14ac:dyDescent="0.35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</row>
    <row r="381" spans="2:33" ht="12.75" customHeight="1" x14ac:dyDescent="0.35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</row>
    <row r="382" spans="2:33" ht="12.75" customHeight="1" x14ac:dyDescent="0.35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</row>
    <row r="383" spans="2:33" ht="12.75" customHeight="1" x14ac:dyDescent="0.35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</row>
    <row r="384" spans="2:33" ht="12.75" customHeight="1" x14ac:dyDescent="0.35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</row>
    <row r="385" spans="2:33" ht="12.75" customHeight="1" x14ac:dyDescent="0.3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</row>
    <row r="386" spans="2:33" ht="12.75" customHeight="1" x14ac:dyDescent="0.35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</row>
    <row r="387" spans="2:33" ht="12.75" customHeight="1" x14ac:dyDescent="0.35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</row>
    <row r="388" spans="2:33" ht="12.75" customHeight="1" x14ac:dyDescent="0.35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</row>
    <row r="389" spans="2:33" ht="12.75" customHeight="1" x14ac:dyDescent="0.35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</row>
    <row r="390" spans="2:33" ht="12.75" customHeight="1" x14ac:dyDescent="0.35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</row>
    <row r="391" spans="2:33" ht="12.75" customHeight="1" x14ac:dyDescent="0.35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</row>
    <row r="392" spans="2:33" ht="12.75" customHeight="1" x14ac:dyDescent="0.35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</row>
    <row r="393" spans="2:33" ht="12.75" customHeight="1" x14ac:dyDescent="0.35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</row>
    <row r="394" spans="2:33" ht="12.75" customHeight="1" x14ac:dyDescent="0.35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</row>
    <row r="395" spans="2:33" ht="12.75" customHeight="1" x14ac:dyDescent="0.3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</row>
    <row r="396" spans="2:33" ht="12.75" customHeight="1" x14ac:dyDescent="0.35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</row>
    <row r="397" spans="2:33" ht="12.75" customHeight="1" x14ac:dyDescent="0.35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</row>
    <row r="398" spans="2:33" ht="12.75" customHeight="1" x14ac:dyDescent="0.35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</row>
    <row r="399" spans="2:33" ht="12.75" customHeight="1" x14ac:dyDescent="0.35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</row>
    <row r="400" spans="2:33" ht="12.75" customHeight="1" x14ac:dyDescent="0.35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</row>
    <row r="401" spans="2:33" ht="12.75" customHeight="1" x14ac:dyDescent="0.35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</row>
    <row r="402" spans="2:33" ht="12.75" customHeight="1" x14ac:dyDescent="0.35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</row>
    <row r="403" spans="2:33" ht="12.75" customHeight="1" x14ac:dyDescent="0.35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</row>
    <row r="404" spans="2:33" ht="12.75" customHeight="1" x14ac:dyDescent="0.35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</row>
    <row r="405" spans="2:33" ht="12.75" customHeight="1" x14ac:dyDescent="0.3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</row>
    <row r="406" spans="2:33" ht="12.75" customHeight="1" x14ac:dyDescent="0.35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</row>
    <row r="407" spans="2:33" ht="12.75" customHeight="1" x14ac:dyDescent="0.35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</row>
    <row r="408" spans="2:33" ht="12.75" customHeight="1" x14ac:dyDescent="0.35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</row>
    <row r="409" spans="2:33" ht="12.75" customHeight="1" x14ac:dyDescent="0.35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</row>
    <row r="410" spans="2:33" ht="12.75" customHeight="1" x14ac:dyDescent="0.35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</row>
    <row r="411" spans="2:33" ht="12.75" customHeight="1" x14ac:dyDescent="0.35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</row>
    <row r="412" spans="2:33" ht="12.75" customHeight="1" x14ac:dyDescent="0.35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</row>
    <row r="413" spans="2:33" ht="12.75" customHeight="1" x14ac:dyDescent="0.35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</row>
    <row r="414" spans="2:33" ht="12.75" customHeight="1" x14ac:dyDescent="0.35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</row>
    <row r="415" spans="2:33" ht="12.75" customHeight="1" x14ac:dyDescent="0.3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</row>
    <row r="416" spans="2:33" ht="12.75" customHeight="1" x14ac:dyDescent="0.35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</row>
    <row r="417" spans="2:33" ht="12.75" customHeight="1" x14ac:dyDescent="0.35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</row>
    <row r="418" spans="2:33" ht="12.75" customHeight="1" x14ac:dyDescent="0.35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</row>
    <row r="419" spans="2:33" ht="12.75" customHeight="1" x14ac:dyDescent="0.35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</row>
    <row r="420" spans="2:33" ht="12.75" customHeight="1" x14ac:dyDescent="0.35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</row>
    <row r="421" spans="2:33" ht="12.75" customHeight="1" x14ac:dyDescent="0.35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</row>
    <row r="422" spans="2:33" ht="12.75" customHeight="1" x14ac:dyDescent="0.35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</row>
    <row r="423" spans="2:33" ht="12.75" customHeight="1" x14ac:dyDescent="0.35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</row>
    <row r="424" spans="2:33" ht="12.75" customHeight="1" x14ac:dyDescent="0.35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</row>
    <row r="425" spans="2:33" ht="12.75" customHeight="1" x14ac:dyDescent="0.3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</row>
    <row r="426" spans="2:33" ht="12.75" customHeight="1" x14ac:dyDescent="0.35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</row>
    <row r="427" spans="2:33" ht="12.75" customHeight="1" x14ac:dyDescent="0.35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</row>
    <row r="428" spans="2:33" ht="12.75" customHeight="1" x14ac:dyDescent="0.35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</row>
    <row r="429" spans="2:33" ht="12.75" customHeight="1" x14ac:dyDescent="0.35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</row>
    <row r="430" spans="2:33" ht="12.75" customHeight="1" x14ac:dyDescent="0.35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</row>
    <row r="431" spans="2:33" ht="12.75" customHeight="1" x14ac:dyDescent="0.35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</row>
    <row r="432" spans="2:33" ht="12.75" customHeight="1" x14ac:dyDescent="0.35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</row>
    <row r="433" spans="2:33" ht="12.75" customHeight="1" x14ac:dyDescent="0.35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</row>
    <row r="434" spans="2:33" ht="12.75" customHeight="1" x14ac:dyDescent="0.35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</row>
    <row r="435" spans="2:33" ht="12.75" customHeight="1" x14ac:dyDescent="0.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</row>
    <row r="436" spans="2:33" ht="12.75" customHeight="1" x14ac:dyDescent="0.35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</row>
    <row r="437" spans="2:33" ht="12.75" customHeight="1" x14ac:dyDescent="0.35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</row>
    <row r="438" spans="2:33" ht="12.75" customHeight="1" x14ac:dyDescent="0.35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</row>
    <row r="439" spans="2:33" ht="12.75" customHeight="1" x14ac:dyDescent="0.35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</row>
    <row r="440" spans="2:33" ht="12.75" customHeight="1" x14ac:dyDescent="0.35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</row>
    <row r="441" spans="2:33" ht="12.75" customHeight="1" x14ac:dyDescent="0.35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</row>
    <row r="442" spans="2:33" ht="12.75" customHeight="1" x14ac:dyDescent="0.35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</row>
    <row r="443" spans="2:33" ht="12.75" customHeight="1" x14ac:dyDescent="0.35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</row>
    <row r="444" spans="2:33" ht="12.75" customHeight="1" x14ac:dyDescent="0.35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</row>
    <row r="445" spans="2:33" ht="12.75" customHeight="1" x14ac:dyDescent="0.3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</row>
    <row r="446" spans="2:33" ht="12.75" customHeight="1" x14ac:dyDescent="0.35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</row>
    <row r="447" spans="2:33" ht="12.75" customHeight="1" x14ac:dyDescent="0.35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</row>
    <row r="448" spans="2:33" ht="12.75" customHeight="1" x14ac:dyDescent="0.35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</row>
    <row r="449" spans="2:33" ht="12.75" customHeight="1" x14ac:dyDescent="0.35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</row>
    <row r="450" spans="2:33" ht="12.75" customHeight="1" x14ac:dyDescent="0.35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</row>
    <row r="451" spans="2:33" ht="12.75" customHeight="1" x14ac:dyDescent="0.35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</row>
    <row r="452" spans="2:33" ht="12.75" customHeight="1" x14ac:dyDescent="0.35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</row>
    <row r="453" spans="2:33" ht="12.75" customHeight="1" x14ac:dyDescent="0.35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</row>
    <row r="454" spans="2:33" ht="12.75" customHeight="1" x14ac:dyDescent="0.35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</row>
    <row r="455" spans="2:33" ht="12.75" customHeight="1" x14ac:dyDescent="0.3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</row>
    <row r="456" spans="2:33" ht="12.75" customHeight="1" x14ac:dyDescent="0.35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</row>
    <row r="457" spans="2:33" ht="12.75" customHeight="1" x14ac:dyDescent="0.35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</row>
    <row r="458" spans="2:33" ht="12.75" customHeight="1" x14ac:dyDescent="0.35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</row>
    <row r="459" spans="2:33" ht="12.75" customHeight="1" x14ac:dyDescent="0.35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</row>
    <row r="460" spans="2:33" ht="12.75" customHeight="1" x14ac:dyDescent="0.35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</row>
    <row r="461" spans="2:33" ht="12.75" customHeight="1" x14ac:dyDescent="0.35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</row>
    <row r="462" spans="2:33" ht="12.75" customHeight="1" x14ac:dyDescent="0.35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</row>
    <row r="463" spans="2:33" ht="12.75" customHeight="1" x14ac:dyDescent="0.35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</row>
    <row r="464" spans="2:33" ht="12.75" customHeight="1" x14ac:dyDescent="0.35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</row>
    <row r="465" spans="2:33" ht="12.75" customHeight="1" x14ac:dyDescent="0.3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</row>
    <row r="466" spans="2:33" ht="12.75" customHeight="1" x14ac:dyDescent="0.35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</row>
    <row r="467" spans="2:33" ht="12.75" customHeight="1" x14ac:dyDescent="0.35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</row>
    <row r="468" spans="2:33" ht="12.75" customHeight="1" x14ac:dyDescent="0.35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</row>
    <row r="469" spans="2:33" ht="12.75" customHeight="1" x14ac:dyDescent="0.35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</row>
    <row r="470" spans="2:33" ht="12.75" customHeight="1" x14ac:dyDescent="0.35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</row>
    <row r="471" spans="2:33" ht="12.75" customHeight="1" x14ac:dyDescent="0.35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</row>
    <row r="472" spans="2:33" ht="12.75" customHeight="1" x14ac:dyDescent="0.35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</row>
    <row r="473" spans="2:33" ht="12.75" customHeight="1" x14ac:dyDescent="0.35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</row>
    <row r="474" spans="2:33" ht="12.75" customHeight="1" x14ac:dyDescent="0.35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</row>
    <row r="475" spans="2:33" ht="12.75" customHeight="1" x14ac:dyDescent="0.3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</row>
    <row r="476" spans="2:33" ht="12.75" customHeight="1" x14ac:dyDescent="0.35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</row>
    <row r="477" spans="2:33" ht="12.75" customHeight="1" x14ac:dyDescent="0.35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</row>
    <row r="478" spans="2:33" ht="12.75" customHeight="1" x14ac:dyDescent="0.35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</row>
    <row r="479" spans="2:33" ht="12.75" customHeight="1" x14ac:dyDescent="0.35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</row>
    <row r="480" spans="2:33" ht="12.75" customHeight="1" x14ac:dyDescent="0.35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</row>
    <row r="481" spans="2:33" ht="12.75" customHeight="1" x14ac:dyDescent="0.35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</row>
    <row r="482" spans="2:33" ht="12.75" customHeight="1" x14ac:dyDescent="0.35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</row>
    <row r="483" spans="2:33" ht="12.75" customHeight="1" x14ac:dyDescent="0.35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</row>
    <row r="484" spans="2:33" ht="12.75" customHeight="1" x14ac:dyDescent="0.35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</row>
    <row r="485" spans="2:33" ht="12.75" customHeight="1" x14ac:dyDescent="0.3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</row>
    <row r="486" spans="2:33" ht="12.75" customHeight="1" x14ac:dyDescent="0.35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</row>
    <row r="487" spans="2:33" ht="12.75" customHeight="1" x14ac:dyDescent="0.35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</row>
    <row r="488" spans="2:33" ht="12.75" customHeight="1" x14ac:dyDescent="0.35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</row>
    <row r="489" spans="2:33" ht="12.75" customHeight="1" x14ac:dyDescent="0.35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</row>
    <row r="490" spans="2:33" ht="12.75" customHeight="1" x14ac:dyDescent="0.35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</row>
    <row r="491" spans="2:33" ht="12.75" customHeight="1" x14ac:dyDescent="0.35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</row>
    <row r="492" spans="2:33" ht="12.75" customHeight="1" x14ac:dyDescent="0.35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</row>
    <row r="493" spans="2:33" ht="12.75" customHeight="1" x14ac:dyDescent="0.35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</row>
    <row r="494" spans="2:33" ht="12.75" customHeight="1" x14ac:dyDescent="0.35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</row>
    <row r="495" spans="2:33" ht="12.75" customHeight="1" x14ac:dyDescent="0.3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</row>
    <row r="496" spans="2:33" ht="12.75" customHeight="1" x14ac:dyDescent="0.35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</row>
    <row r="497" spans="2:33" ht="12.75" customHeight="1" x14ac:dyDescent="0.35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</row>
    <row r="498" spans="2:33" ht="12.75" customHeight="1" x14ac:dyDescent="0.35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</row>
    <row r="499" spans="2:33" ht="12.75" customHeight="1" x14ac:dyDescent="0.35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</row>
    <row r="500" spans="2:33" ht="12.75" customHeight="1" x14ac:dyDescent="0.35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</row>
    <row r="501" spans="2:33" ht="12.75" customHeight="1" x14ac:dyDescent="0.35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</row>
    <row r="502" spans="2:33" ht="12.75" customHeight="1" x14ac:dyDescent="0.35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</row>
    <row r="503" spans="2:33" ht="12.75" customHeight="1" x14ac:dyDescent="0.35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</row>
    <row r="504" spans="2:33" ht="12.75" customHeight="1" x14ac:dyDescent="0.35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</row>
    <row r="505" spans="2:33" ht="12.75" customHeight="1" x14ac:dyDescent="0.3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</row>
    <row r="506" spans="2:33" ht="12.75" customHeight="1" x14ac:dyDescent="0.35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</row>
    <row r="507" spans="2:33" ht="12.75" customHeight="1" x14ac:dyDescent="0.35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</row>
    <row r="508" spans="2:33" ht="12.75" customHeight="1" x14ac:dyDescent="0.35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</row>
    <row r="509" spans="2:33" ht="12.75" customHeight="1" x14ac:dyDescent="0.35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</row>
    <row r="510" spans="2:33" ht="12.75" customHeight="1" x14ac:dyDescent="0.35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</row>
    <row r="511" spans="2:33" ht="12.75" customHeight="1" x14ac:dyDescent="0.35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</row>
    <row r="512" spans="2:33" ht="12.75" customHeight="1" x14ac:dyDescent="0.35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</row>
    <row r="513" spans="2:33" ht="12.75" customHeight="1" x14ac:dyDescent="0.35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</row>
    <row r="514" spans="2:33" ht="12.75" customHeight="1" x14ac:dyDescent="0.35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</row>
    <row r="515" spans="2:33" ht="12.75" customHeight="1" x14ac:dyDescent="0.3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</row>
    <row r="516" spans="2:33" ht="12.75" customHeight="1" x14ac:dyDescent="0.35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</row>
    <row r="517" spans="2:33" ht="12.75" customHeight="1" x14ac:dyDescent="0.35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</row>
    <row r="518" spans="2:33" ht="12.75" customHeight="1" x14ac:dyDescent="0.35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</row>
    <row r="519" spans="2:33" ht="12.75" customHeight="1" x14ac:dyDescent="0.35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</row>
    <row r="520" spans="2:33" ht="12.75" customHeight="1" x14ac:dyDescent="0.35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</row>
    <row r="521" spans="2:33" ht="12.75" customHeight="1" x14ac:dyDescent="0.35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</row>
    <row r="522" spans="2:33" ht="12.75" customHeight="1" x14ac:dyDescent="0.35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</row>
    <row r="523" spans="2:33" ht="12.75" customHeight="1" x14ac:dyDescent="0.35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</row>
    <row r="524" spans="2:33" ht="12.75" customHeight="1" x14ac:dyDescent="0.35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</row>
    <row r="525" spans="2:33" ht="12.75" customHeight="1" x14ac:dyDescent="0.3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</row>
    <row r="526" spans="2:33" ht="12.75" customHeight="1" x14ac:dyDescent="0.35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</row>
    <row r="527" spans="2:33" ht="12.75" customHeight="1" x14ac:dyDescent="0.35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</row>
    <row r="528" spans="2:33" ht="12.75" customHeight="1" x14ac:dyDescent="0.35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</row>
    <row r="529" spans="2:33" ht="12.75" customHeight="1" x14ac:dyDescent="0.35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</row>
    <row r="530" spans="2:33" ht="12.75" customHeight="1" x14ac:dyDescent="0.35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</row>
    <row r="531" spans="2:33" ht="12.75" customHeight="1" x14ac:dyDescent="0.35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</row>
    <row r="532" spans="2:33" ht="12.75" customHeight="1" x14ac:dyDescent="0.35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</row>
    <row r="533" spans="2:33" ht="12.75" customHeight="1" x14ac:dyDescent="0.35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</row>
    <row r="534" spans="2:33" ht="12.75" customHeight="1" x14ac:dyDescent="0.35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</row>
    <row r="535" spans="2:33" ht="12.75" customHeight="1" x14ac:dyDescent="0.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</row>
    <row r="536" spans="2:33" ht="12.75" customHeight="1" x14ac:dyDescent="0.35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</row>
    <row r="537" spans="2:33" ht="12.75" customHeight="1" x14ac:dyDescent="0.35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</row>
    <row r="538" spans="2:33" ht="12.75" customHeight="1" x14ac:dyDescent="0.35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</row>
    <row r="539" spans="2:33" ht="12.75" customHeight="1" x14ac:dyDescent="0.35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</row>
    <row r="540" spans="2:33" ht="12.75" customHeight="1" x14ac:dyDescent="0.35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</row>
    <row r="541" spans="2:33" ht="12.75" customHeight="1" x14ac:dyDescent="0.35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</row>
    <row r="542" spans="2:33" ht="12.75" customHeight="1" x14ac:dyDescent="0.35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</row>
    <row r="543" spans="2:33" ht="12.75" customHeight="1" x14ac:dyDescent="0.35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</row>
    <row r="544" spans="2:33" ht="12.75" customHeight="1" x14ac:dyDescent="0.35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</row>
    <row r="545" spans="2:33" ht="12.75" customHeight="1" x14ac:dyDescent="0.3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</row>
    <row r="546" spans="2:33" ht="12.75" customHeight="1" x14ac:dyDescent="0.35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</row>
    <row r="547" spans="2:33" ht="12.75" customHeight="1" x14ac:dyDescent="0.35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</row>
    <row r="548" spans="2:33" ht="12.75" customHeight="1" x14ac:dyDescent="0.35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</row>
    <row r="549" spans="2:33" ht="12.75" customHeight="1" x14ac:dyDescent="0.35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</row>
    <row r="550" spans="2:33" ht="12.75" customHeight="1" x14ac:dyDescent="0.35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</row>
    <row r="551" spans="2:33" ht="12.75" customHeight="1" x14ac:dyDescent="0.35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</row>
    <row r="552" spans="2:33" ht="12.75" customHeight="1" x14ac:dyDescent="0.35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</row>
    <row r="553" spans="2:33" ht="12.75" customHeight="1" x14ac:dyDescent="0.35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</row>
    <row r="554" spans="2:33" ht="12.75" customHeight="1" x14ac:dyDescent="0.35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</row>
    <row r="555" spans="2:33" ht="12.75" customHeight="1" x14ac:dyDescent="0.3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</row>
    <row r="556" spans="2:33" ht="12.75" customHeight="1" x14ac:dyDescent="0.35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</row>
    <row r="557" spans="2:33" ht="12.75" customHeight="1" x14ac:dyDescent="0.35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</row>
    <row r="558" spans="2:33" ht="12.75" customHeight="1" x14ac:dyDescent="0.35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</row>
    <row r="559" spans="2:33" ht="12.75" customHeight="1" x14ac:dyDescent="0.35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</row>
    <row r="560" spans="2:33" ht="12.75" customHeight="1" x14ac:dyDescent="0.35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</row>
    <row r="561" spans="2:33" ht="12.75" customHeight="1" x14ac:dyDescent="0.35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</row>
    <row r="562" spans="2:33" ht="12.75" customHeight="1" x14ac:dyDescent="0.35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</row>
    <row r="563" spans="2:33" ht="12.75" customHeight="1" x14ac:dyDescent="0.35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</row>
    <row r="564" spans="2:33" ht="12.75" customHeight="1" x14ac:dyDescent="0.35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</row>
    <row r="565" spans="2:33" ht="12.75" customHeight="1" x14ac:dyDescent="0.3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</row>
    <row r="566" spans="2:33" ht="12.75" customHeight="1" x14ac:dyDescent="0.35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</row>
    <row r="567" spans="2:33" ht="12.75" customHeight="1" x14ac:dyDescent="0.35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</row>
    <row r="568" spans="2:33" ht="12.75" customHeight="1" x14ac:dyDescent="0.35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</row>
    <row r="569" spans="2:33" ht="12.75" customHeight="1" x14ac:dyDescent="0.35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</row>
    <row r="570" spans="2:33" ht="12.75" customHeight="1" x14ac:dyDescent="0.35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</row>
    <row r="571" spans="2:33" ht="12.75" customHeight="1" x14ac:dyDescent="0.35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</row>
    <row r="572" spans="2:33" ht="12.75" customHeight="1" x14ac:dyDescent="0.35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</row>
    <row r="573" spans="2:33" ht="12.75" customHeight="1" x14ac:dyDescent="0.35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</row>
    <row r="574" spans="2:33" ht="12.75" customHeight="1" x14ac:dyDescent="0.35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</row>
    <row r="575" spans="2:33" ht="12.75" customHeight="1" x14ac:dyDescent="0.3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</row>
    <row r="576" spans="2:33" ht="12.75" customHeight="1" x14ac:dyDescent="0.35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</row>
    <row r="577" spans="2:33" ht="12.75" customHeight="1" x14ac:dyDescent="0.35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</row>
    <row r="578" spans="2:33" ht="12.75" customHeight="1" x14ac:dyDescent="0.35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</row>
    <row r="579" spans="2:33" ht="12.75" customHeight="1" x14ac:dyDescent="0.35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</row>
    <row r="580" spans="2:33" ht="12.75" customHeight="1" x14ac:dyDescent="0.35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</row>
    <row r="581" spans="2:33" ht="12.75" customHeight="1" x14ac:dyDescent="0.35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</row>
    <row r="582" spans="2:33" ht="12.75" customHeight="1" x14ac:dyDescent="0.35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</row>
    <row r="583" spans="2:33" ht="12.75" customHeight="1" x14ac:dyDescent="0.35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</row>
    <row r="584" spans="2:33" ht="12.75" customHeight="1" x14ac:dyDescent="0.35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</row>
    <row r="585" spans="2:33" ht="12.75" customHeight="1" x14ac:dyDescent="0.3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</row>
    <row r="586" spans="2:33" ht="12.75" customHeight="1" x14ac:dyDescent="0.35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</row>
    <row r="587" spans="2:33" ht="12.75" customHeight="1" x14ac:dyDescent="0.35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</row>
    <row r="588" spans="2:33" ht="12.75" customHeight="1" x14ac:dyDescent="0.35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</row>
    <row r="589" spans="2:33" ht="12.75" customHeight="1" x14ac:dyDescent="0.35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</row>
    <row r="590" spans="2:33" ht="12.75" customHeight="1" x14ac:dyDescent="0.35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</row>
    <row r="591" spans="2:33" ht="12.75" customHeight="1" x14ac:dyDescent="0.35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</row>
    <row r="592" spans="2:33" ht="12.75" customHeight="1" x14ac:dyDescent="0.35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</row>
    <row r="593" spans="2:33" ht="12.75" customHeight="1" x14ac:dyDescent="0.35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</row>
    <row r="594" spans="2:33" ht="12.75" customHeight="1" x14ac:dyDescent="0.35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</row>
    <row r="595" spans="2:33" ht="12.75" customHeight="1" x14ac:dyDescent="0.3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</row>
    <row r="596" spans="2:33" ht="12.75" customHeight="1" x14ac:dyDescent="0.35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</row>
    <row r="597" spans="2:33" ht="12.75" customHeight="1" x14ac:dyDescent="0.35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</row>
    <row r="598" spans="2:33" ht="12.75" customHeight="1" x14ac:dyDescent="0.35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</row>
    <row r="599" spans="2:33" ht="12.75" customHeight="1" x14ac:dyDescent="0.35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</row>
    <row r="600" spans="2:33" ht="12.75" customHeight="1" x14ac:dyDescent="0.35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</row>
    <row r="601" spans="2:33" ht="12.75" customHeight="1" x14ac:dyDescent="0.35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</row>
    <row r="602" spans="2:33" ht="12.75" customHeight="1" x14ac:dyDescent="0.35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</row>
    <row r="603" spans="2:33" ht="12.75" customHeight="1" x14ac:dyDescent="0.35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</row>
    <row r="604" spans="2:33" ht="12.75" customHeight="1" x14ac:dyDescent="0.35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</row>
    <row r="605" spans="2:33" ht="12.75" customHeight="1" x14ac:dyDescent="0.3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</row>
    <row r="606" spans="2:33" ht="12.75" customHeight="1" x14ac:dyDescent="0.35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</row>
    <row r="607" spans="2:33" ht="12.75" customHeight="1" x14ac:dyDescent="0.35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</row>
    <row r="608" spans="2:33" ht="12.75" customHeight="1" x14ac:dyDescent="0.35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</row>
    <row r="609" spans="2:33" ht="12.75" customHeight="1" x14ac:dyDescent="0.35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</row>
    <row r="610" spans="2:33" ht="12.75" customHeight="1" x14ac:dyDescent="0.35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</row>
    <row r="611" spans="2:33" ht="12.75" customHeight="1" x14ac:dyDescent="0.35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</row>
    <row r="612" spans="2:33" ht="12.75" customHeight="1" x14ac:dyDescent="0.35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</row>
    <row r="613" spans="2:33" ht="12.75" customHeight="1" x14ac:dyDescent="0.35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</row>
    <row r="614" spans="2:33" ht="12.75" customHeight="1" x14ac:dyDescent="0.35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</row>
    <row r="615" spans="2:33" ht="12.75" customHeight="1" x14ac:dyDescent="0.3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</row>
    <row r="616" spans="2:33" ht="12.75" customHeight="1" x14ac:dyDescent="0.35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</row>
    <row r="617" spans="2:33" ht="12.75" customHeight="1" x14ac:dyDescent="0.35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</row>
    <row r="618" spans="2:33" ht="12.75" customHeight="1" x14ac:dyDescent="0.35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</row>
    <row r="619" spans="2:33" ht="12.75" customHeight="1" x14ac:dyDescent="0.35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</row>
    <row r="620" spans="2:33" ht="12.75" customHeight="1" x14ac:dyDescent="0.35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</row>
    <row r="621" spans="2:33" ht="12.75" customHeight="1" x14ac:dyDescent="0.35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</row>
    <row r="622" spans="2:33" ht="12.75" customHeight="1" x14ac:dyDescent="0.35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</row>
    <row r="623" spans="2:33" ht="12.75" customHeight="1" x14ac:dyDescent="0.35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</row>
    <row r="624" spans="2:33" ht="12.75" customHeight="1" x14ac:dyDescent="0.35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</row>
    <row r="625" spans="2:33" ht="12.75" customHeight="1" x14ac:dyDescent="0.3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</row>
    <row r="626" spans="2:33" ht="12.75" customHeight="1" x14ac:dyDescent="0.35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</row>
    <row r="627" spans="2:33" ht="12.75" customHeight="1" x14ac:dyDescent="0.35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</row>
    <row r="628" spans="2:33" ht="12.75" customHeight="1" x14ac:dyDescent="0.35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</row>
    <row r="629" spans="2:33" ht="12.75" customHeight="1" x14ac:dyDescent="0.35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</row>
    <row r="630" spans="2:33" ht="12.75" customHeight="1" x14ac:dyDescent="0.35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</row>
    <row r="631" spans="2:33" ht="12.75" customHeight="1" x14ac:dyDescent="0.35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</row>
    <row r="632" spans="2:33" ht="12.75" customHeight="1" x14ac:dyDescent="0.35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</row>
    <row r="633" spans="2:33" ht="12.75" customHeight="1" x14ac:dyDescent="0.35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</row>
    <row r="634" spans="2:33" ht="12.75" customHeight="1" x14ac:dyDescent="0.35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</row>
    <row r="635" spans="2:33" ht="12.75" customHeight="1" x14ac:dyDescent="0.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</row>
    <row r="636" spans="2:33" ht="12.75" customHeight="1" x14ac:dyDescent="0.35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</row>
    <row r="637" spans="2:33" ht="12.75" customHeight="1" x14ac:dyDescent="0.35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</row>
    <row r="638" spans="2:33" ht="12.75" customHeight="1" x14ac:dyDescent="0.35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</row>
    <row r="639" spans="2:33" ht="12.75" customHeight="1" x14ac:dyDescent="0.35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</row>
    <row r="640" spans="2:33" ht="12.75" customHeight="1" x14ac:dyDescent="0.35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</row>
    <row r="641" spans="2:33" ht="12.75" customHeight="1" x14ac:dyDescent="0.35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</row>
    <row r="642" spans="2:33" ht="12.75" customHeight="1" x14ac:dyDescent="0.35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</row>
    <row r="643" spans="2:33" ht="12.75" customHeight="1" x14ac:dyDescent="0.35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</row>
    <row r="644" spans="2:33" ht="12.75" customHeight="1" x14ac:dyDescent="0.35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</row>
    <row r="645" spans="2:33" ht="12.75" customHeight="1" x14ac:dyDescent="0.3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</row>
    <row r="646" spans="2:33" ht="12.75" customHeight="1" x14ac:dyDescent="0.35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</row>
    <row r="647" spans="2:33" ht="12.75" customHeight="1" x14ac:dyDescent="0.35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</row>
    <row r="648" spans="2:33" ht="12.75" customHeight="1" x14ac:dyDescent="0.35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</row>
    <row r="649" spans="2:33" ht="12.75" customHeight="1" x14ac:dyDescent="0.35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</row>
    <row r="650" spans="2:33" ht="12.75" customHeight="1" x14ac:dyDescent="0.35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</row>
    <row r="651" spans="2:33" ht="12.75" customHeight="1" x14ac:dyDescent="0.35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</row>
    <row r="652" spans="2:33" ht="12.75" customHeight="1" x14ac:dyDescent="0.35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</row>
    <row r="653" spans="2:33" ht="12.75" customHeight="1" x14ac:dyDescent="0.35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</row>
    <row r="654" spans="2:33" ht="12.75" customHeight="1" x14ac:dyDescent="0.35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</row>
    <row r="655" spans="2:33" ht="12.75" customHeight="1" x14ac:dyDescent="0.3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</row>
    <row r="656" spans="2:33" ht="12.75" customHeight="1" x14ac:dyDescent="0.35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</row>
    <row r="657" spans="2:33" ht="12.75" customHeight="1" x14ac:dyDescent="0.35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</row>
    <row r="658" spans="2:33" ht="12.75" customHeight="1" x14ac:dyDescent="0.35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</row>
    <row r="659" spans="2:33" ht="12.75" customHeight="1" x14ac:dyDescent="0.35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</row>
    <row r="660" spans="2:33" ht="12.75" customHeight="1" x14ac:dyDescent="0.35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</row>
    <row r="661" spans="2:33" ht="12.75" customHeight="1" x14ac:dyDescent="0.35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</row>
    <row r="662" spans="2:33" ht="12.75" customHeight="1" x14ac:dyDescent="0.35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</row>
    <row r="663" spans="2:33" ht="12.75" customHeight="1" x14ac:dyDescent="0.35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</row>
    <row r="664" spans="2:33" ht="12.75" customHeight="1" x14ac:dyDescent="0.35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</row>
    <row r="665" spans="2:33" ht="12.75" customHeight="1" x14ac:dyDescent="0.3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</row>
    <row r="666" spans="2:33" ht="12.75" customHeight="1" x14ac:dyDescent="0.35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</row>
    <row r="667" spans="2:33" ht="12.75" customHeight="1" x14ac:dyDescent="0.35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</row>
    <row r="668" spans="2:33" ht="12.75" customHeight="1" x14ac:dyDescent="0.35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</row>
    <row r="669" spans="2:33" ht="12.75" customHeight="1" x14ac:dyDescent="0.35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</row>
    <row r="670" spans="2:33" ht="12.75" customHeight="1" x14ac:dyDescent="0.35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</row>
    <row r="671" spans="2:33" ht="12.75" customHeight="1" x14ac:dyDescent="0.35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</row>
    <row r="672" spans="2:33" ht="12.75" customHeight="1" x14ac:dyDescent="0.35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</row>
    <row r="673" spans="2:33" ht="12.75" customHeight="1" x14ac:dyDescent="0.35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</row>
    <row r="674" spans="2:33" ht="12.75" customHeight="1" x14ac:dyDescent="0.35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</row>
    <row r="675" spans="2:33" ht="12.75" customHeight="1" x14ac:dyDescent="0.3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</row>
    <row r="676" spans="2:33" ht="12.75" customHeight="1" x14ac:dyDescent="0.35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</row>
    <row r="677" spans="2:33" ht="12.75" customHeight="1" x14ac:dyDescent="0.35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</row>
    <row r="678" spans="2:33" ht="12.75" customHeight="1" x14ac:dyDescent="0.35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</row>
    <row r="679" spans="2:33" ht="12.75" customHeight="1" x14ac:dyDescent="0.35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</row>
    <row r="680" spans="2:33" ht="12.75" customHeight="1" x14ac:dyDescent="0.35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</row>
    <row r="681" spans="2:33" ht="12.75" customHeight="1" x14ac:dyDescent="0.35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</row>
    <row r="682" spans="2:33" ht="12.75" customHeight="1" x14ac:dyDescent="0.35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</row>
    <row r="683" spans="2:33" ht="12.75" customHeight="1" x14ac:dyDescent="0.35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</row>
    <row r="684" spans="2:33" ht="12.75" customHeight="1" x14ac:dyDescent="0.35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</row>
    <row r="685" spans="2:33" ht="12.75" customHeight="1" x14ac:dyDescent="0.3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</row>
    <row r="686" spans="2:33" ht="12.75" customHeight="1" x14ac:dyDescent="0.35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</row>
    <row r="687" spans="2:33" ht="12.75" customHeight="1" x14ac:dyDescent="0.35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</row>
    <row r="688" spans="2:33" ht="12.75" customHeight="1" x14ac:dyDescent="0.35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</row>
    <row r="689" spans="2:33" ht="12.75" customHeight="1" x14ac:dyDescent="0.35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</row>
    <row r="690" spans="2:33" ht="12.75" customHeight="1" x14ac:dyDescent="0.35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</row>
    <row r="691" spans="2:33" ht="12.75" customHeight="1" x14ac:dyDescent="0.35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</row>
    <row r="692" spans="2:33" ht="12.75" customHeight="1" x14ac:dyDescent="0.35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</row>
    <row r="693" spans="2:33" ht="12.75" customHeight="1" x14ac:dyDescent="0.35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</row>
    <row r="694" spans="2:33" ht="12.75" customHeight="1" x14ac:dyDescent="0.35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</row>
    <row r="695" spans="2:33" ht="12.75" customHeight="1" x14ac:dyDescent="0.3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</row>
    <row r="696" spans="2:33" ht="12.75" customHeight="1" x14ac:dyDescent="0.35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</row>
    <row r="697" spans="2:33" ht="12.75" customHeight="1" x14ac:dyDescent="0.35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</row>
    <row r="698" spans="2:33" ht="12.75" customHeight="1" x14ac:dyDescent="0.35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</row>
    <row r="699" spans="2:33" ht="12.75" customHeight="1" x14ac:dyDescent="0.35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</row>
    <row r="700" spans="2:33" ht="12.75" customHeight="1" x14ac:dyDescent="0.35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</row>
    <row r="701" spans="2:33" ht="12.75" customHeight="1" x14ac:dyDescent="0.35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</row>
    <row r="702" spans="2:33" ht="12.75" customHeight="1" x14ac:dyDescent="0.35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</row>
    <row r="703" spans="2:33" ht="12.75" customHeight="1" x14ac:dyDescent="0.35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</row>
    <row r="704" spans="2:33" ht="12.75" customHeight="1" x14ac:dyDescent="0.35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</row>
    <row r="705" spans="2:33" ht="12.75" customHeight="1" x14ac:dyDescent="0.3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</row>
    <row r="706" spans="2:33" ht="12.75" customHeight="1" x14ac:dyDescent="0.35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</row>
    <row r="707" spans="2:33" ht="12.75" customHeight="1" x14ac:dyDescent="0.35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</row>
    <row r="708" spans="2:33" ht="12.75" customHeight="1" x14ac:dyDescent="0.35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</row>
    <row r="709" spans="2:33" ht="12.75" customHeight="1" x14ac:dyDescent="0.35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</row>
    <row r="710" spans="2:33" ht="12.75" customHeight="1" x14ac:dyDescent="0.35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</row>
    <row r="711" spans="2:33" ht="12.75" customHeight="1" x14ac:dyDescent="0.35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</row>
    <row r="712" spans="2:33" ht="12.75" customHeight="1" x14ac:dyDescent="0.35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</row>
    <row r="713" spans="2:33" ht="12.75" customHeight="1" x14ac:dyDescent="0.35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</row>
    <row r="714" spans="2:33" ht="12.75" customHeight="1" x14ac:dyDescent="0.35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</row>
    <row r="715" spans="2:33" ht="12.75" customHeight="1" x14ac:dyDescent="0.3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</row>
    <row r="716" spans="2:33" ht="12.75" customHeight="1" x14ac:dyDescent="0.35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</row>
    <row r="717" spans="2:33" ht="12.75" customHeight="1" x14ac:dyDescent="0.35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</row>
    <row r="718" spans="2:33" ht="12.75" customHeight="1" x14ac:dyDescent="0.35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</row>
    <row r="719" spans="2:33" ht="12.75" customHeight="1" x14ac:dyDescent="0.35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</row>
    <row r="720" spans="2:33" ht="12.75" customHeight="1" x14ac:dyDescent="0.35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</row>
    <row r="721" spans="2:33" ht="12.75" customHeight="1" x14ac:dyDescent="0.35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</row>
    <row r="722" spans="2:33" ht="12.75" customHeight="1" x14ac:dyDescent="0.35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</row>
    <row r="723" spans="2:33" ht="12.75" customHeight="1" x14ac:dyDescent="0.35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</row>
    <row r="724" spans="2:33" ht="12.75" customHeight="1" x14ac:dyDescent="0.35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</row>
    <row r="725" spans="2:33" ht="12.75" customHeight="1" x14ac:dyDescent="0.3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</row>
    <row r="726" spans="2:33" ht="12.75" customHeight="1" x14ac:dyDescent="0.35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</row>
    <row r="727" spans="2:33" ht="12.75" customHeight="1" x14ac:dyDescent="0.35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</row>
    <row r="728" spans="2:33" ht="12.75" customHeight="1" x14ac:dyDescent="0.35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</row>
    <row r="729" spans="2:33" ht="12.75" customHeight="1" x14ac:dyDescent="0.35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</row>
    <row r="730" spans="2:33" ht="12.75" customHeight="1" x14ac:dyDescent="0.35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</row>
    <row r="731" spans="2:33" ht="12.75" customHeight="1" x14ac:dyDescent="0.35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</row>
    <row r="732" spans="2:33" ht="12.75" customHeight="1" x14ac:dyDescent="0.35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</row>
    <row r="733" spans="2:33" ht="12.75" customHeight="1" x14ac:dyDescent="0.35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</row>
    <row r="734" spans="2:33" ht="12.75" customHeight="1" x14ac:dyDescent="0.35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</row>
    <row r="735" spans="2:33" ht="12.75" customHeight="1" x14ac:dyDescent="0.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</row>
    <row r="736" spans="2:33" ht="12.75" customHeight="1" x14ac:dyDescent="0.35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</row>
    <row r="737" spans="2:33" ht="12.75" customHeight="1" x14ac:dyDescent="0.35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</row>
    <row r="738" spans="2:33" ht="12.75" customHeight="1" x14ac:dyDescent="0.35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</row>
    <row r="739" spans="2:33" ht="12.75" customHeight="1" x14ac:dyDescent="0.35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</row>
    <row r="740" spans="2:33" ht="12.75" customHeight="1" x14ac:dyDescent="0.35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</row>
    <row r="741" spans="2:33" ht="12.75" customHeight="1" x14ac:dyDescent="0.35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</row>
    <row r="742" spans="2:33" ht="12.75" customHeight="1" x14ac:dyDescent="0.35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</row>
    <row r="743" spans="2:33" ht="12.75" customHeight="1" x14ac:dyDescent="0.35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</row>
    <row r="744" spans="2:33" ht="12.75" customHeight="1" x14ac:dyDescent="0.35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</row>
    <row r="745" spans="2:33" ht="12.75" customHeight="1" x14ac:dyDescent="0.3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</row>
    <row r="746" spans="2:33" ht="12.75" customHeight="1" x14ac:dyDescent="0.35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</row>
    <row r="747" spans="2:33" ht="12.75" customHeight="1" x14ac:dyDescent="0.35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</row>
    <row r="748" spans="2:33" ht="12.75" customHeight="1" x14ac:dyDescent="0.35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</row>
    <row r="749" spans="2:33" ht="12.75" customHeight="1" x14ac:dyDescent="0.35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</row>
    <row r="750" spans="2:33" ht="12.75" customHeight="1" x14ac:dyDescent="0.35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</row>
    <row r="751" spans="2:33" ht="12.75" customHeight="1" x14ac:dyDescent="0.35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</row>
    <row r="752" spans="2:33" ht="12.75" customHeight="1" x14ac:dyDescent="0.35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</row>
    <row r="753" spans="2:33" ht="12.75" customHeight="1" x14ac:dyDescent="0.35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</row>
    <row r="754" spans="2:33" ht="12.75" customHeight="1" x14ac:dyDescent="0.35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</row>
    <row r="755" spans="2:33" ht="12.75" customHeight="1" x14ac:dyDescent="0.3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</row>
    <row r="756" spans="2:33" ht="12.75" customHeight="1" x14ac:dyDescent="0.35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</row>
    <row r="757" spans="2:33" ht="12.75" customHeight="1" x14ac:dyDescent="0.35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</row>
    <row r="758" spans="2:33" ht="12.75" customHeight="1" x14ac:dyDescent="0.35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</row>
    <row r="759" spans="2:33" ht="12.75" customHeight="1" x14ac:dyDescent="0.35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</row>
    <row r="760" spans="2:33" ht="12.75" customHeight="1" x14ac:dyDescent="0.35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</row>
    <row r="761" spans="2:33" ht="12.75" customHeight="1" x14ac:dyDescent="0.35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</row>
    <row r="762" spans="2:33" ht="12.75" customHeight="1" x14ac:dyDescent="0.35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</row>
    <row r="763" spans="2:33" ht="12.75" customHeight="1" x14ac:dyDescent="0.35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</row>
    <row r="764" spans="2:33" ht="12.75" customHeight="1" x14ac:dyDescent="0.35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</row>
    <row r="765" spans="2:33" ht="12.75" customHeight="1" x14ac:dyDescent="0.3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</row>
    <row r="766" spans="2:33" ht="12.75" customHeight="1" x14ac:dyDescent="0.35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</row>
    <row r="767" spans="2:33" ht="12.75" customHeight="1" x14ac:dyDescent="0.35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</row>
    <row r="768" spans="2:33" ht="12.75" customHeight="1" x14ac:dyDescent="0.35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</row>
    <row r="769" spans="2:33" ht="12.75" customHeight="1" x14ac:dyDescent="0.35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</row>
    <row r="770" spans="2:33" ht="12.75" customHeight="1" x14ac:dyDescent="0.35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</row>
    <row r="771" spans="2:33" ht="12.75" customHeight="1" x14ac:dyDescent="0.35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</row>
    <row r="772" spans="2:33" ht="12.75" customHeight="1" x14ac:dyDescent="0.35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</row>
    <row r="773" spans="2:33" ht="12.75" customHeight="1" x14ac:dyDescent="0.35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</row>
    <row r="774" spans="2:33" ht="12.75" customHeight="1" x14ac:dyDescent="0.35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</row>
    <row r="775" spans="2:33" ht="12.75" customHeight="1" x14ac:dyDescent="0.3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</row>
    <row r="776" spans="2:33" ht="12.75" customHeight="1" x14ac:dyDescent="0.35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</row>
    <row r="777" spans="2:33" ht="12.75" customHeight="1" x14ac:dyDescent="0.35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</row>
    <row r="778" spans="2:33" ht="12.75" customHeight="1" x14ac:dyDescent="0.35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</row>
    <row r="779" spans="2:33" ht="12.75" customHeight="1" x14ac:dyDescent="0.35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</row>
    <row r="780" spans="2:33" ht="12.75" customHeight="1" x14ac:dyDescent="0.35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</row>
    <row r="781" spans="2:33" ht="12.75" customHeight="1" x14ac:dyDescent="0.35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</row>
    <row r="782" spans="2:33" ht="12.75" customHeight="1" x14ac:dyDescent="0.35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</row>
    <row r="783" spans="2:33" ht="12.75" customHeight="1" x14ac:dyDescent="0.35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</row>
    <row r="784" spans="2:33" ht="12.75" customHeight="1" x14ac:dyDescent="0.35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</row>
    <row r="785" spans="2:33" ht="12.75" customHeight="1" x14ac:dyDescent="0.3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</row>
    <row r="786" spans="2:33" ht="12.75" customHeight="1" x14ac:dyDescent="0.35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</row>
    <row r="787" spans="2:33" ht="12.75" customHeight="1" x14ac:dyDescent="0.35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</row>
    <row r="788" spans="2:33" ht="12.75" customHeight="1" x14ac:dyDescent="0.35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</row>
    <row r="789" spans="2:33" ht="12.75" customHeight="1" x14ac:dyDescent="0.35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</row>
    <row r="790" spans="2:33" ht="12.75" customHeight="1" x14ac:dyDescent="0.35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</row>
    <row r="791" spans="2:33" ht="12.75" customHeight="1" x14ac:dyDescent="0.35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</row>
    <row r="792" spans="2:33" ht="12.75" customHeight="1" x14ac:dyDescent="0.35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</row>
    <row r="793" spans="2:33" ht="12.75" customHeight="1" x14ac:dyDescent="0.35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</row>
    <row r="794" spans="2:33" ht="12.75" customHeight="1" x14ac:dyDescent="0.35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</row>
    <row r="795" spans="2:33" ht="12.75" customHeight="1" x14ac:dyDescent="0.3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</row>
    <row r="796" spans="2:33" ht="12.75" customHeight="1" x14ac:dyDescent="0.35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</row>
    <row r="797" spans="2:33" ht="12.75" customHeight="1" x14ac:dyDescent="0.35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</row>
    <row r="798" spans="2:33" ht="12.75" customHeight="1" x14ac:dyDescent="0.35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</row>
    <row r="799" spans="2:33" ht="12.75" customHeight="1" x14ac:dyDescent="0.35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</row>
    <row r="800" spans="2:33" ht="12.75" customHeight="1" x14ac:dyDescent="0.35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</row>
    <row r="801" spans="2:33" ht="12.75" customHeight="1" x14ac:dyDescent="0.35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</row>
    <row r="802" spans="2:33" ht="12.75" customHeight="1" x14ac:dyDescent="0.35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</row>
    <row r="803" spans="2:33" ht="12.75" customHeight="1" x14ac:dyDescent="0.35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</row>
    <row r="804" spans="2:33" ht="12.75" customHeight="1" x14ac:dyDescent="0.35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</row>
    <row r="805" spans="2:33" ht="12.75" customHeight="1" x14ac:dyDescent="0.3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</row>
    <row r="806" spans="2:33" ht="12.75" customHeight="1" x14ac:dyDescent="0.35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</row>
    <row r="807" spans="2:33" ht="12.75" customHeight="1" x14ac:dyDescent="0.35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</row>
    <row r="808" spans="2:33" ht="12.75" customHeight="1" x14ac:dyDescent="0.35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</row>
    <row r="809" spans="2:33" ht="12.75" customHeight="1" x14ac:dyDescent="0.35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</row>
    <row r="810" spans="2:33" ht="12.75" customHeight="1" x14ac:dyDescent="0.35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</row>
    <row r="811" spans="2:33" ht="12.75" customHeight="1" x14ac:dyDescent="0.35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</row>
    <row r="812" spans="2:33" ht="12.75" customHeight="1" x14ac:dyDescent="0.35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</row>
    <row r="813" spans="2:33" ht="12.75" customHeight="1" x14ac:dyDescent="0.35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</row>
    <row r="814" spans="2:33" ht="12.75" customHeight="1" x14ac:dyDescent="0.35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</row>
    <row r="815" spans="2:33" ht="12.75" customHeight="1" x14ac:dyDescent="0.3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</row>
    <row r="816" spans="2:33" ht="12.75" customHeight="1" x14ac:dyDescent="0.35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</row>
    <row r="817" spans="2:33" ht="12.75" customHeight="1" x14ac:dyDescent="0.35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</row>
    <row r="818" spans="2:33" ht="12.75" customHeight="1" x14ac:dyDescent="0.35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</row>
    <row r="819" spans="2:33" ht="12.75" customHeight="1" x14ac:dyDescent="0.35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</row>
    <row r="820" spans="2:33" ht="12.75" customHeight="1" x14ac:dyDescent="0.35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</row>
    <row r="821" spans="2:33" ht="12.75" customHeight="1" x14ac:dyDescent="0.35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</row>
    <row r="822" spans="2:33" ht="12.75" customHeight="1" x14ac:dyDescent="0.35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</row>
    <row r="823" spans="2:33" ht="12.75" customHeight="1" x14ac:dyDescent="0.35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</row>
    <row r="824" spans="2:33" ht="12.75" customHeight="1" x14ac:dyDescent="0.35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</row>
    <row r="825" spans="2:33" ht="12.75" customHeight="1" x14ac:dyDescent="0.3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</row>
    <row r="826" spans="2:33" ht="12.75" customHeight="1" x14ac:dyDescent="0.35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</row>
    <row r="827" spans="2:33" ht="12.75" customHeight="1" x14ac:dyDescent="0.35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</row>
    <row r="828" spans="2:33" ht="12.75" customHeight="1" x14ac:dyDescent="0.35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</row>
    <row r="829" spans="2:33" ht="12.75" customHeight="1" x14ac:dyDescent="0.35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</row>
    <row r="830" spans="2:33" ht="12.75" customHeight="1" x14ac:dyDescent="0.35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</row>
    <row r="831" spans="2:33" ht="12.75" customHeight="1" x14ac:dyDescent="0.35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</row>
    <row r="832" spans="2:33" ht="12.75" customHeight="1" x14ac:dyDescent="0.35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</row>
    <row r="833" spans="2:33" ht="12.75" customHeight="1" x14ac:dyDescent="0.35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</row>
    <row r="834" spans="2:33" ht="12.75" customHeight="1" x14ac:dyDescent="0.35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</row>
    <row r="835" spans="2:33" ht="12.75" customHeight="1" x14ac:dyDescent="0.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</row>
    <row r="836" spans="2:33" ht="12.75" customHeight="1" x14ac:dyDescent="0.35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</row>
    <row r="837" spans="2:33" ht="12.75" customHeight="1" x14ac:dyDescent="0.35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</row>
    <row r="838" spans="2:33" ht="12.75" customHeight="1" x14ac:dyDescent="0.35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</row>
    <row r="839" spans="2:33" ht="12.75" customHeight="1" x14ac:dyDescent="0.35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</row>
    <row r="840" spans="2:33" ht="12.75" customHeight="1" x14ac:dyDescent="0.35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</row>
    <row r="841" spans="2:33" ht="12.75" customHeight="1" x14ac:dyDescent="0.35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</row>
    <row r="842" spans="2:33" ht="12.75" customHeight="1" x14ac:dyDescent="0.35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</row>
    <row r="843" spans="2:33" ht="12.75" customHeight="1" x14ac:dyDescent="0.35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</row>
    <row r="844" spans="2:33" ht="12.75" customHeight="1" x14ac:dyDescent="0.35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</row>
    <row r="845" spans="2:33" ht="12.75" customHeight="1" x14ac:dyDescent="0.3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</row>
    <row r="846" spans="2:33" ht="12.75" customHeight="1" x14ac:dyDescent="0.35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</row>
    <row r="847" spans="2:33" ht="12.75" customHeight="1" x14ac:dyDescent="0.35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</row>
    <row r="848" spans="2:33" ht="12.75" customHeight="1" x14ac:dyDescent="0.35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</row>
    <row r="849" spans="2:33" ht="12.75" customHeight="1" x14ac:dyDescent="0.35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</row>
    <row r="850" spans="2:33" ht="12.75" customHeight="1" x14ac:dyDescent="0.35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</row>
    <row r="851" spans="2:33" ht="12.75" customHeight="1" x14ac:dyDescent="0.35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</row>
    <row r="852" spans="2:33" ht="12.75" customHeight="1" x14ac:dyDescent="0.35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</row>
    <row r="853" spans="2:33" ht="12.75" customHeight="1" x14ac:dyDescent="0.35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</row>
    <row r="854" spans="2:33" ht="12.75" customHeight="1" x14ac:dyDescent="0.35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</row>
    <row r="855" spans="2:33" ht="12.75" customHeight="1" x14ac:dyDescent="0.3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</row>
    <row r="856" spans="2:33" ht="12.75" customHeight="1" x14ac:dyDescent="0.35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</row>
    <row r="857" spans="2:33" ht="12.75" customHeight="1" x14ac:dyDescent="0.35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</row>
    <row r="858" spans="2:33" ht="12.75" customHeight="1" x14ac:dyDescent="0.35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</row>
    <row r="859" spans="2:33" ht="12.75" customHeight="1" x14ac:dyDescent="0.35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</row>
    <row r="860" spans="2:33" ht="12.75" customHeight="1" x14ac:dyDescent="0.35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</row>
    <row r="861" spans="2:33" ht="12.75" customHeight="1" x14ac:dyDescent="0.35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</row>
    <row r="862" spans="2:33" ht="12.75" customHeight="1" x14ac:dyDescent="0.35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</row>
    <row r="863" spans="2:33" ht="12.75" customHeight="1" x14ac:dyDescent="0.35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</row>
    <row r="864" spans="2:33" ht="12.75" customHeight="1" x14ac:dyDescent="0.35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</row>
    <row r="865" spans="2:33" ht="12.75" customHeight="1" x14ac:dyDescent="0.3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</row>
    <row r="866" spans="2:33" ht="12.75" customHeight="1" x14ac:dyDescent="0.35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</row>
    <row r="867" spans="2:33" ht="12.75" customHeight="1" x14ac:dyDescent="0.35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</row>
    <row r="868" spans="2:33" ht="12.75" customHeight="1" x14ac:dyDescent="0.35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</row>
    <row r="869" spans="2:33" ht="12.75" customHeight="1" x14ac:dyDescent="0.35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</row>
    <row r="870" spans="2:33" ht="12.75" customHeight="1" x14ac:dyDescent="0.35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</row>
    <row r="871" spans="2:33" ht="12.75" customHeight="1" x14ac:dyDescent="0.35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</row>
    <row r="872" spans="2:33" ht="12.75" customHeight="1" x14ac:dyDescent="0.35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</row>
    <row r="873" spans="2:33" ht="12.75" customHeight="1" x14ac:dyDescent="0.35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</row>
    <row r="874" spans="2:33" ht="12.75" customHeight="1" x14ac:dyDescent="0.35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</row>
    <row r="875" spans="2:33" ht="12.75" customHeight="1" x14ac:dyDescent="0.3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</row>
    <row r="876" spans="2:33" ht="12.75" customHeight="1" x14ac:dyDescent="0.35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</row>
    <row r="877" spans="2:33" ht="12.75" customHeight="1" x14ac:dyDescent="0.35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</row>
    <row r="878" spans="2:33" ht="12.75" customHeight="1" x14ac:dyDescent="0.35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</row>
    <row r="879" spans="2:33" ht="12.75" customHeight="1" x14ac:dyDescent="0.35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</row>
    <row r="880" spans="2:33" ht="12.75" customHeight="1" x14ac:dyDescent="0.35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</row>
    <row r="881" spans="2:33" ht="12.75" customHeight="1" x14ac:dyDescent="0.35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</row>
    <row r="882" spans="2:33" ht="12.75" customHeight="1" x14ac:dyDescent="0.35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</row>
    <row r="883" spans="2:33" ht="12.75" customHeight="1" x14ac:dyDescent="0.35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</row>
    <row r="884" spans="2:33" ht="12.75" customHeight="1" x14ac:dyDescent="0.35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</row>
    <row r="885" spans="2:33" ht="12.75" customHeight="1" x14ac:dyDescent="0.3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</row>
    <row r="886" spans="2:33" ht="12.75" customHeight="1" x14ac:dyDescent="0.35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</row>
    <row r="887" spans="2:33" ht="12.75" customHeight="1" x14ac:dyDescent="0.35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</row>
    <row r="888" spans="2:33" ht="12.75" customHeight="1" x14ac:dyDescent="0.35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</row>
    <row r="889" spans="2:33" ht="12.75" customHeight="1" x14ac:dyDescent="0.35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</row>
    <row r="890" spans="2:33" ht="12.75" customHeight="1" x14ac:dyDescent="0.35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</row>
    <row r="891" spans="2:33" ht="12.75" customHeight="1" x14ac:dyDescent="0.35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</row>
    <row r="892" spans="2:33" ht="12.75" customHeight="1" x14ac:dyDescent="0.35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</row>
    <row r="893" spans="2:33" ht="12.75" customHeight="1" x14ac:dyDescent="0.35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</row>
    <row r="894" spans="2:33" ht="12.75" customHeight="1" x14ac:dyDescent="0.35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</row>
    <row r="895" spans="2:33" ht="12.75" customHeight="1" x14ac:dyDescent="0.3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</row>
    <row r="896" spans="2:33" ht="12.75" customHeight="1" x14ac:dyDescent="0.35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</row>
    <row r="897" spans="2:33" ht="12.75" customHeight="1" x14ac:dyDescent="0.35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</row>
    <row r="898" spans="2:33" ht="12.75" customHeight="1" x14ac:dyDescent="0.35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</row>
    <row r="899" spans="2:33" ht="12.75" customHeight="1" x14ac:dyDescent="0.35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</row>
    <row r="900" spans="2:33" ht="12.75" customHeight="1" x14ac:dyDescent="0.35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</row>
    <row r="901" spans="2:33" ht="12.75" customHeight="1" x14ac:dyDescent="0.35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</row>
    <row r="902" spans="2:33" ht="12.75" customHeight="1" x14ac:dyDescent="0.35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</row>
    <row r="903" spans="2:33" ht="12.75" customHeight="1" x14ac:dyDescent="0.35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</row>
    <row r="904" spans="2:33" ht="12.75" customHeight="1" x14ac:dyDescent="0.35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</row>
    <row r="905" spans="2:33" ht="12.75" customHeight="1" x14ac:dyDescent="0.3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</row>
    <row r="906" spans="2:33" ht="12.75" customHeight="1" x14ac:dyDescent="0.35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</row>
    <row r="907" spans="2:33" ht="12.75" customHeight="1" x14ac:dyDescent="0.35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</row>
    <row r="908" spans="2:33" ht="12.75" customHeight="1" x14ac:dyDescent="0.35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</row>
    <row r="909" spans="2:33" ht="12.75" customHeight="1" x14ac:dyDescent="0.35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</row>
    <row r="910" spans="2:33" ht="12.75" customHeight="1" x14ac:dyDescent="0.35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</row>
    <row r="911" spans="2:33" ht="12.75" customHeight="1" x14ac:dyDescent="0.35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</row>
    <row r="912" spans="2:33" ht="12.75" customHeight="1" x14ac:dyDescent="0.35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</row>
    <row r="913" spans="2:33" ht="12.75" customHeight="1" x14ac:dyDescent="0.35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</row>
    <row r="914" spans="2:33" ht="12.75" customHeight="1" x14ac:dyDescent="0.35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</row>
    <row r="915" spans="2:33" ht="12.75" customHeight="1" x14ac:dyDescent="0.3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</row>
    <row r="916" spans="2:33" ht="12.75" customHeight="1" x14ac:dyDescent="0.35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</row>
    <row r="917" spans="2:33" ht="12.75" customHeight="1" x14ac:dyDescent="0.35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</row>
    <row r="918" spans="2:33" ht="12.75" customHeight="1" x14ac:dyDescent="0.35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</row>
    <row r="919" spans="2:33" ht="12.75" customHeight="1" x14ac:dyDescent="0.35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</row>
    <row r="920" spans="2:33" ht="12.75" customHeight="1" x14ac:dyDescent="0.35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</row>
    <row r="921" spans="2:33" ht="12.75" customHeight="1" x14ac:dyDescent="0.35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</row>
    <row r="922" spans="2:33" ht="12.75" customHeight="1" x14ac:dyDescent="0.35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</row>
    <row r="923" spans="2:33" ht="12.75" customHeight="1" x14ac:dyDescent="0.35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</row>
    <row r="924" spans="2:33" ht="12.75" customHeight="1" x14ac:dyDescent="0.35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</row>
    <row r="925" spans="2:33" ht="12.75" customHeight="1" x14ac:dyDescent="0.3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</row>
    <row r="926" spans="2:33" ht="12.75" customHeight="1" x14ac:dyDescent="0.35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</row>
    <row r="927" spans="2:33" ht="12.75" customHeight="1" x14ac:dyDescent="0.35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</row>
    <row r="928" spans="2:33" ht="12.75" customHeight="1" x14ac:dyDescent="0.35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</row>
    <row r="929" spans="2:33" ht="12.75" customHeight="1" x14ac:dyDescent="0.35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</row>
    <row r="930" spans="2:33" ht="12.75" customHeight="1" x14ac:dyDescent="0.35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</row>
    <row r="931" spans="2:33" ht="12.75" customHeight="1" x14ac:dyDescent="0.35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</row>
    <row r="932" spans="2:33" ht="12.75" customHeight="1" x14ac:dyDescent="0.35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</row>
    <row r="933" spans="2:33" ht="12.75" customHeight="1" x14ac:dyDescent="0.35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</row>
    <row r="934" spans="2:33" ht="12.75" customHeight="1" x14ac:dyDescent="0.35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</row>
    <row r="935" spans="2:33" ht="12.75" customHeight="1" x14ac:dyDescent="0.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</row>
    <row r="936" spans="2:33" ht="12.75" customHeight="1" x14ac:dyDescent="0.35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</row>
    <row r="937" spans="2:33" ht="12.75" customHeight="1" x14ac:dyDescent="0.35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</row>
    <row r="938" spans="2:33" ht="12.75" customHeight="1" x14ac:dyDescent="0.35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</row>
    <row r="939" spans="2:33" ht="12.75" customHeight="1" x14ac:dyDescent="0.35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</row>
    <row r="940" spans="2:33" ht="12.75" customHeight="1" x14ac:dyDescent="0.35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</row>
    <row r="941" spans="2:33" ht="12.75" customHeight="1" x14ac:dyDescent="0.35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</row>
    <row r="942" spans="2:33" ht="12.75" customHeight="1" x14ac:dyDescent="0.35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</row>
    <row r="943" spans="2:33" ht="12.75" customHeight="1" x14ac:dyDescent="0.35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</row>
    <row r="944" spans="2:33" ht="12.75" customHeight="1" x14ac:dyDescent="0.35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</row>
    <row r="945" spans="2:33" ht="12.75" customHeight="1" x14ac:dyDescent="0.3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</row>
    <row r="946" spans="2:33" ht="12.75" customHeight="1" x14ac:dyDescent="0.35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</row>
    <row r="947" spans="2:33" ht="12.75" customHeight="1" x14ac:dyDescent="0.35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</row>
    <row r="948" spans="2:33" ht="12.75" customHeight="1" x14ac:dyDescent="0.35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</row>
    <row r="949" spans="2:33" ht="12.75" customHeight="1" x14ac:dyDescent="0.35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</row>
    <row r="950" spans="2:33" ht="12.75" customHeight="1" x14ac:dyDescent="0.35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</row>
    <row r="951" spans="2:33" ht="12.75" customHeight="1" x14ac:dyDescent="0.35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</row>
    <row r="952" spans="2:33" ht="12.75" customHeight="1" x14ac:dyDescent="0.35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</row>
    <row r="953" spans="2:33" ht="12.75" customHeight="1" x14ac:dyDescent="0.35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</row>
    <row r="954" spans="2:33" ht="12.75" customHeight="1" x14ac:dyDescent="0.35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</row>
    <row r="955" spans="2:33" ht="12.75" customHeight="1" x14ac:dyDescent="0.3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</row>
    <row r="956" spans="2:33" ht="12.75" customHeight="1" x14ac:dyDescent="0.35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</row>
    <row r="957" spans="2:33" ht="12.75" customHeight="1" x14ac:dyDescent="0.35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</row>
    <row r="958" spans="2:33" ht="12.75" customHeight="1" x14ac:dyDescent="0.35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</row>
    <row r="959" spans="2:33" ht="12.75" customHeight="1" x14ac:dyDescent="0.35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</row>
    <row r="960" spans="2:33" ht="12.75" customHeight="1" x14ac:dyDescent="0.35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</row>
    <row r="961" spans="2:33" ht="12.75" customHeight="1" x14ac:dyDescent="0.35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</row>
    <row r="962" spans="2:33" ht="12.75" customHeight="1" x14ac:dyDescent="0.35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</row>
    <row r="963" spans="2:33" ht="12.75" customHeight="1" x14ac:dyDescent="0.35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</row>
    <row r="964" spans="2:33" ht="12.75" customHeight="1" x14ac:dyDescent="0.35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</row>
    <row r="965" spans="2:33" ht="12.75" customHeight="1" x14ac:dyDescent="0.3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</row>
    <row r="966" spans="2:33" ht="12.75" customHeight="1" x14ac:dyDescent="0.35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</row>
    <row r="967" spans="2:33" ht="12.75" customHeight="1" x14ac:dyDescent="0.35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</row>
    <row r="968" spans="2:33" ht="12.75" customHeight="1" x14ac:dyDescent="0.35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</row>
    <row r="969" spans="2:33" ht="12.75" customHeight="1" x14ac:dyDescent="0.35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</row>
    <row r="970" spans="2:33" ht="12.75" customHeight="1" x14ac:dyDescent="0.35"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</row>
    <row r="971" spans="2:33" ht="12.75" customHeight="1" x14ac:dyDescent="0.35"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</row>
    <row r="972" spans="2:33" ht="12.75" customHeight="1" x14ac:dyDescent="0.35"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</row>
    <row r="973" spans="2:33" ht="12.75" customHeight="1" x14ac:dyDescent="0.35"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</row>
    <row r="974" spans="2:33" ht="12.75" customHeight="1" x14ac:dyDescent="0.35"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</row>
    <row r="975" spans="2:33" ht="12.75" customHeight="1" x14ac:dyDescent="0.35"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</row>
    <row r="976" spans="2:33" ht="12.75" customHeight="1" x14ac:dyDescent="0.35"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</row>
    <row r="977" spans="2:33" ht="12.75" customHeight="1" x14ac:dyDescent="0.35"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</row>
    <row r="978" spans="2:33" ht="12.75" customHeight="1" x14ac:dyDescent="0.35"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</row>
    <row r="979" spans="2:33" ht="12.75" customHeight="1" x14ac:dyDescent="0.35"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</row>
    <row r="980" spans="2:33" ht="12.75" customHeight="1" x14ac:dyDescent="0.35"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</row>
    <row r="981" spans="2:33" ht="12.75" customHeight="1" x14ac:dyDescent="0.35"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</row>
    <row r="982" spans="2:33" ht="12.75" customHeight="1" x14ac:dyDescent="0.35"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</row>
    <row r="983" spans="2:33" ht="12.75" customHeight="1" x14ac:dyDescent="0.35"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</row>
    <row r="984" spans="2:33" ht="12.75" customHeight="1" x14ac:dyDescent="0.35"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</row>
    <row r="985" spans="2:33" ht="12.75" customHeight="1" x14ac:dyDescent="0.35"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</row>
    <row r="986" spans="2:33" ht="12.75" customHeight="1" x14ac:dyDescent="0.35"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</row>
    <row r="987" spans="2:33" ht="12.75" customHeight="1" x14ac:dyDescent="0.35"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</row>
    <row r="988" spans="2:33" ht="12.75" customHeight="1" x14ac:dyDescent="0.35"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</row>
    <row r="989" spans="2:33" ht="12.75" customHeight="1" x14ac:dyDescent="0.35"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</row>
    <row r="990" spans="2:33" ht="12.75" customHeight="1" x14ac:dyDescent="0.35"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</row>
    <row r="991" spans="2:33" ht="12.75" customHeight="1" x14ac:dyDescent="0.35"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</row>
    <row r="992" spans="2:33" ht="12.75" customHeight="1" x14ac:dyDescent="0.35"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</row>
    <row r="993" spans="2:33" ht="12.75" customHeight="1" x14ac:dyDescent="0.35"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</row>
    <row r="994" spans="2:33" ht="12.75" customHeight="1" x14ac:dyDescent="0.35"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</row>
    <row r="995" spans="2:33" ht="12.75" customHeight="1" x14ac:dyDescent="0.35"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</row>
    <row r="996" spans="2:33" ht="12.75" customHeight="1" x14ac:dyDescent="0.35"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</row>
    <row r="997" spans="2:33" ht="12.75" customHeight="1" x14ac:dyDescent="0.35"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</row>
    <row r="998" spans="2:33" ht="12.75" customHeight="1" x14ac:dyDescent="0.35"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</row>
    <row r="999" spans="2:33" ht="12.75" customHeight="1" x14ac:dyDescent="0.35"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</row>
    <row r="1000" spans="2:33" ht="12.75" customHeight="1" x14ac:dyDescent="0.35"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</row>
  </sheetData>
  <mergeCells count="5">
    <mergeCell ref="S7:W7"/>
    <mergeCell ref="S19:W19"/>
    <mergeCell ref="S30:W30"/>
    <mergeCell ref="S56:W56"/>
    <mergeCell ref="S67:W67"/>
  </mergeCells>
  <conditionalFormatting sqref="F38">
    <cfRule type="expression" dxfId="8" priority="1">
      <formula>AND($F$37="Interest Only")</formula>
    </cfRule>
  </conditionalFormatting>
  <conditionalFormatting sqref="F47">
    <cfRule type="expression" dxfId="7" priority="2">
      <formula>AND($F$46="Interest Only")</formula>
    </cfRule>
  </conditionalFormatting>
  <conditionalFormatting sqref="L41">
    <cfRule type="expression" dxfId="6" priority="3">
      <formula>AND($L$40="Interest Only")</formula>
    </cfRule>
  </conditionalFormatting>
  <conditionalFormatting sqref="S9:W13">
    <cfRule type="expression" dxfId="5" priority="4">
      <formula>AND($R9=$F$17,S$8=$L$20)</formula>
    </cfRule>
  </conditionalFormatting>
  <conditionalFormatting sqref="S21:W25">
    <cfRule type="expression" dxfId="4" priority="5">
      <formula>AND($R21=$F$63,S$20=$F$59)</formula>
    </cfRule>
    <cfRule type="expression" dxfId="3" priority="6">
      <formula>AND($S20=$F$59,R$21=$F$63)</formula>
    </cfRule>
  </conditionalFormatting>
  <conditionalFormatting sqref="S32:W36">
    <cfRule type="expression" dxfId="2" priority="7">
      <formula>AND($R32=$L$18,S$31=$L$20)</formula>
    </cfRule>
  </conditionalFormatting>
  <conditionalFormatting sqref="S58:W62">
    <cfRule type="expression" dxfId="1" priority="8">
      <formula>AND($R58=$L$36,S$57=$L$32)</formula>
    </cfRule>
  </conditionalFormatting>
  <conditionalFormatting sqref="S69:W73">
    <cfRule type="expression" dxfId="0" priority="9">
      <formula>AND($R69=$F$33,S$68=$E$42)</formula>
    </cfRule>
  </conditionalFormatting>
  <dataValidations count="2">
    <dataValidation type="list" allowBlank="1" showErrorMessage="1" sqref="L28:L29" xr:uid="{00000000-0002-0000-0000-000000000000}">
      <formula1>"Yes,No"</formula1>
    </dataValidation>
    <dataValidation type="list" allowBlank="1" showErrorMessage="1" sqref="F37 L40 F46" xr:uid="{00000000-0002-0000-0000-000001000000}">
      <formula1>"Amortized,Interest Only"</formula1>
    </dataValidation>
  </dataValidations>
  <pageMargins left="0.7" right="0.7" top="0.75" bottom="0.75" header="0" footer="0"/>
  <pageSetup orientation="landscape" r:id="rId1"/>
  <rowBreaks count="1" manualBreakCount="1">
    <brk id="49" man="1"/>
  </rowBreaks>
  <colBreaks count="1" manualBreakCount="1">
    <brk id="1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tabSelected="1" workbookViewId="0">
      <selection activeCell="H16" sqref="H16"/>
    </sheetView>
  </sheetViews>
  <sheetFormatPr defaultColWidth="14.453125" defaultRowHeight="15" customHeight="1" x14ac:dyDescent="0.35"/>
  <cols>
    <col min="1" max="1" width="4.54296875" style="8" customWidth="1"/>
    <col min="2" max="2" width="29.453125" customWidth="1"/>
    <col min="3" max="7" width="13.54296875" customWidth="1"/>
    <col min="8" max="8" width="5.54296875" customWidth="1"/>
    <col min="9" max="9" width="17.54296875" customWidth="1"/>
    <col min="10" max="10" width="12.453125" customWidth="1"/>
    <col min="11" max="11" width="8.1796875" customWidth="1"/>
    <col min="12" max="12" width="12.54296875" customWidth="1"/>
    <col min="13" max="13" width="19.7265625" customWidth="1"/>
    <col min="14" max="14" width="2.54296875" customWidth="1"/>
    <col min="15" max="26" width="8.81640625" customWidth="1"/>
  </cols>
  <sheetData>
    <row r="1" spans="2:26" ht="21.75" customHeight="1" x14ac:dyDescent="0.45">
      <c r="C1" s="2"/>
      <c r="D1" s="2"/>
      <c r="E1" s="2"/>
      <c r="F1" s="2"/>
      <c r="G1" s="4"/>
      <c r="H1" s="2"/>
      <c r="I1" s="2"/>
      <c r="J1" s="2"/>
      <c r="K1" s="2"/>
      <c r="L1" s="2"/>
      <c r="M1" s="3"/>
      <c r="N1" s="5"/>
      <c r="O1" s="5"/>
      <c r="P1" s="6"/>
      <c r="Q1" s="5"/>
      <c r="R1" s="5"/>
      <c r="S1" s="5"/>
      <c r="T1" s="5"/>
      <c r="U1" s="5"/>
      <c r="V1" s="5"/>
      <c r="W1" s="5"/>
      <c r="X1" s="5"/>
      <c r="Y1" s="5"/>
      <c r="Z1" s="5"/>
    </row>
    <row r="2" spans="2:26" ht="12.75" customHeight="1" x14ac:dyDescent="0.35">
      <c r="C2" s="8"/>
      <c r="D2" s="8"/>
      <c r="E2" s="8"/>
      <c r="F2" s="8"/>
      <c r="G2" s="7"/>
      <c r="H2" s="8"/>
      <c r="I2" s="8"/>
      <c r="J2" s="8"/>
      <c r="K2" s="8"/>
      <c r="L2" s="8"/>
      <c r="M2" s="8"/>
      <c r="N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2:26" ht="131.25" customHeight="1" x14ac:dyDescent="0.3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2:26" ht="12.75" customHeight="1" x14ac:dyDescent="0.35">
      <c r="B4" s="12" t="s">
        <v>228</v>
      </c>
      <c r="C4" s="13"/>
      <c r="D4" s="13"/>
      <c r="E4" s="13"/>
      <c r="F4" s="14"/>
      <c r="G4" s="8"/>
      <c r="H4" s="8"/>
      <c r="I4" s="12" t="s">
        <v>229</v>
      </c>
      <c r="J4" s="13"/>
      <c r="K4" s="13"/>
      <c r="L4" s="13"/>
      <c r="M4" s="14"/>
      <c r="N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2:26" ht="12.75" customHeight="1" x14ac:dyDescent="0.35">
      <c r="B5" s="348"/>
      <c r="C5" s="349"/>
      <c r="D5" s="349"/>
      <c r="E5" s="349"/>
      <c r="F5" s="350">
        <f>+Inputs!F25</f>
        <v>103</v>
      </c>
      <c r="G5" s="8"/>
      <c r="H5" s="8"/>
      <c r="I5" s="38" t="str">
        <f>Inputs!H18</f>
        <v>Exit Year</v>
      </c>
      <c r="J5" s="95"/>
      <c r="K5" s="95"/>
      <c r="L5" s="95"/>
      <c r="M5" s="351">
        <f>Inputs!L18</f>
        <v>7</v>
      </c>
      <c r="N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2:26" ht="12.75" customHeight="1" x14ac:dyDescent="0.35">
      <c r="B6" s="348"/>
      <c r="C6" s="349"/>
      <c r="D6" s="352" t="s">
        <v>88</v>
      </c>
      <c r="E6" s="352" t="s">
        <v>230</v>
      </c>
      <c r="F6" s="353" t="s">
        <v>231</v>
      </c>
      <c r="G6" s="8"/>
      <c r="H6" s="8"/>
      <c r="I6" s="122"/>
      <c r="J6" s="8"/>
      <c r="K6" s="8"/>
      <c r="L6" s="354"/>
      <c r="M6" s="355"/>
      <c r="N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2:26" ht="12.75" customHeight="1" x14ac:dyDescent="0.35">
      <c r="B7" s="356" t="s">
        <v>232</v>
      </c>
      <c r="C7" s="357"/>
      <c r="D7" s="358"/>
      <c r="E7" s="359"/>
      <c r="F7" s="350"/>
      <c r="G7" s="8"/>
      <c r="H7" s="8"/>
      <c r="I7" s="122"/>
      <c r="J7" s="8"/>
      <c r="K7" s="8"/>
      <c r="L7" s="354" t="s">
        <v>231</v>
      </c>
      <c r="M7" s="355" t="s">
        <v>233</v>
      </c>
      <c r="N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2:26" ht="12.75" customHeight="1" x14ac:dyDescent="0.35">
      <c r="B8" s="360" t="str">
        <f>+Inputs!B17</f>
        <v>Purchase Price</v>
      </c>
      <c r="C8" s="361"/>
      <c r="D8" s="362">
        <f>+Inputs!F17</f>
        <v>8750000</v>
      </c>
      <c r="E8" s="363">
        <f>+D8/$D$17</f>
        <v>0.35256223872207071</v>
      </c>
      <c r="F8" s="364">
        <f>+D8/$F$5</f>
        <v>84951.456310679612</v>
      </c>
      <c r="G8" s="8"/>
      <c r="H8" s="8"/>
      <c r="I8" s="39" t="s">
        <v>234</v>
      </c>
      <c r="J8" s="58"/>
      <c r="K8" s="58"/>
      <c r="L8" s="365">
        <f>+M8/$F$5</f>
        <v>-3598.593367680844</v>
      </c>
      <c r="M8" s="366">
        <f>+Inputs!L19</f>
        <v>-370655.11687112693</v>
      </c>
      <c r="N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2:26" ht="12.75" customHeight="1" x14ac:dyDescent="0.35">
      <c r="B9" s="360" t="str">
        <f>+Inputs!B18</f>
        <v>Acquisition Costs</v>
      </c>
      <c r="C9" s="361"/>
      <c r="D9" s="367">
        <f>+Inputs!F18</f>
        <v>175000</v>
      </c>
      <c r="E9" s="368">
        <f t="shared" ref="E9:E13" si="0">+D9/$D$17+E8</f>
        <v>0.35961348349651212</v>
      </c>
      <c r="F9" s="369">
        <f t="shared" ref="F9:F13" si="1">+D9/$F$5+F8</f>
        <v>86650.485436893199</v>
      </c>
      <c r="G9" s="8"/>
      <c r="H9" s="8"/>
      <c r="I9" s="38" t="str">
        <f>+Inputs!H20</f>
        <v>Exit Cap Rate</v>
      </c>
      <c r="J9" s="95"/>
      <c r="K9" s="95"/>
      <c r="L9" s="95"/>
      <c r="M9" s="16">
        <f>+Inputs!L20</f>
        <v>8.5000000000000006E-2</v>
      </c>
      <c r="N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2:26" ht="12.75" customHeight="1" x14ac:dyDescent="0.35">
      <c r="B10" s="360" t="str">
        <f>+Inputs!B19</f>
        <v>Interest Reserve</v>
      </c>
      <c r="C10" s="361"/>
      <c r="D10" s="367">
        <f>+Inputs!F19</f>
        <v>0</v>
      </c>
      <c r="E10" s="368">
        <f t="shared" si="0"/>
        <v>0.35961348349651212</v>
      </c>
      <c r="F10" s="369">
        <f t="shared" si="1"/>
        <v>86650.485436893199</v>
      </c>
      <c r="G10" s="8"/>
      <c r="H10" s="8"/>
      <c r="I10" s="38" t="str">
        <f>+Inputs!H21</f>
        <v>Exit Value</v>
      </c>
      <c r="J10" s="95"/>
      <c r="K10" s="95"/>
      <c r="L10" s="370">
        <f t="shared" ref="L10:L12" si="2">+M10/$F$5</f>
        <v>-42336.392560951106</v>
      </c>
      <c r="M10" s="366">
        <f>+M8/M9</f>
        <v>-4360648.4337779637</v>
      </c>
      <c r="N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2:26" ht="12.75" customHeight="1" x14ac:dyDescent="0.35">
      <c r="B11" s="360" t="str">
        <f>+Inputs!B20</f>
        <v>Tax Reserve</v>
      </c>
      <c r="C11" s="361"/>
      <c r="D11" s="367">
        <f>+Inputs!F20</f>
        <v>40000</v>
      </c>
      <c r="E11" s="368">
        <f t="shared" si="0"/>
        <v>0.36122519658781299</v>
      </c>
      <c r="F11" s="369">
        <f t="shared" si="1"/>
        <v>87038.834951456301</v>
      </c>
      <c r="G11" s="8"/>
      <c r="H11" s="8"/>
      <c r="I11" s="38" t="s">
        <v>235</v>
      </c>
      <c r="J11" s="8"/>
      <c r="K11" s="8"/>
      <c r="L11" s="365">
        <f t="shared" si="2"/>
        <v>1270.0917768285331</v>
      </c>
      <c r="M11" s="366">
        <f>+Inputs!L22</f>
        <v>130819.45301333891</v>
      </c>
      <c r="N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2:26" ht="12.75" customHeight="1" x14ac:dyDescent="0.35">
      <c r="B12" s="360" t="str">
        <f>+Inputs!B21</f>
        <v>DD / Legal</v>
      </c>
      <c r="C12" s="361"/>
      <c r="D12" s="367">
        <f>+Inputs!F21</f>
        <v>0</v>
      </c>
      <c r="E12" s="368">
        <f t="shared" si="0"/>
        <v>0.36122519658781299</v>
      </c>
      <c r="F12" s="369">
        <f t="shared" si="1"/>
        <v>87038.834951456301</v>
      </c>
      <c r="G12" s="8"/>
      <c r="H12" s="8"/>
      <c r="I12" s="371" t="s">
        <v>236</v>
      </c>
      <c r="J12" s="372"/>
      <c r="K12" s="372"/>
      <c r="L12" s="373">
        <f t="shared" si="2"/>
        <v>-41066.30078412257</v>
      </c>
      <c r="M12" s="374">
        <f>+Inputs!L23</f>
        <v>-4229828.9807646247</v>
      </c>
      <c r="N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2:26" ht="12.75" customHeight="1" x14ac:dyDescent="0.35">
      <c r="B13" s="360" t="str">
        <f>+Inputs!B22</f>
        <v>CapEx/Renovation</v>
      </c>
      <c r="C13" s="361"/>
      <c r="D13" s="367">
        <f>+Inputs!F22</f>
        <v>150000</v>
      </c>
      <c r="E13" s="368">
        <f t="shared" si="0"/>
        <v>0.36726912068019135</v>
      </c>
      <c r="F13" s="369">
        <f t="shared" si="1"/>
        <v>88495.14563106795</v>
      </c>
      <c r="G13" s="8"/>
      <c r="H13" s="8"/>
      <c r="I13" s="8"/>
      <c r="J13" s="8"/>
      <c r="K13" s="8"/>
      <c r="L13" s="8"/>
      <c r="M13" s="8"/>
      <c r="N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2:26" ht="12.75" customHeight="1" x14ac:dyDescent="0.35">
      <c r="B14" s="360" t="s">
        <v>237</v>
      </c>
      <c r="C14" s="361"/>
      <c r="D14" s="367">
        <f>+Inputs!F36+Inputs!F45</f>
        <v>56875</v>
      </c>
      <c r="E14" s="368">
        <f>+D14/$D$17+E12</f>
        <v>0.36351685113950644</v>
      </c>
      <c r="F14" s="369">
        <f>+D14/$F$5+F12</f>
        <v>87591.01941747572</v>
      </c>
      <c r="G14" s="8"/>
      <c r="H14" s="8"/>
      <c r="I14" s="12" t="s">
        <v>238</v>
      </c>
      <c r="J14" s="13"/>
      <c r="K14" s="13"/>
      <c r="L14" s="13"/>
      <c r="M14" s="14"/>
      <c r="N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2:26" ht="12.75" customHeight="1" x14ac:dyDescent="0.35">
      <c r="B15" s="360" t="str">
        <f>+Inputs!B23</f>
        <v xml:space="preserve">Other </v>
      </c>
      <c r="C15" s="375"/>
      <c r="D15" s="367">
        <f>+Inputs!F23</f>
        <v>109375</v>
      </c>
      <c r="E15" s="368">
        <f>+D15/$D$17+E14</f>
        <v>0.3679238791235323</v>
      </c>
      <c r="F15" s="369">
        <f>+D15/$F$5+F14</f>
        <v>88652.91262135921</v>
      </c>
      <c r="G15" s="8"/>
      <c r="H15" s="8"/>
      <c r="I15" s="92"/>
      <c r="J15" s="8"/>
      <c r="K15" s="8"/>
      <c r="L15" s="8"/>
      <c r="M15" s="93"/>
      <c r="N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2:26" ht="12.75" customHeight="1" x14ac:dyDescent="0.35">
      <c r="B16" s="376" t="s">
        <v>239</v>
      </c>
      <c r="C16" s="377"/>
      <c r="D16" s="440">
        <f>D23-SUM(D8:D15)</f>
        <v>15537063.021031547</v>
      </c>
      <c r="E16" s="441">
        <f>+D16/$D$17+E21</f>
        <v>0.85519765195343522</v>
      </c>
      <c r="F16" s="378">
        <f>+D16/$F$5+F21</f>
        <v>206063.71865079171</v>
      </c>
      <c r="G16" s="8"/>
      <c r="H16" s="8"/>
      <c r="I16" s="122" t="s">
        <v>240</v>
      </c>
      <c r="J16" s="8"/>
      <c r="K16" s="8"/>
      <c r="L16" s="8"/>
      <c r="M16" s="93"/>
      <c r="N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2:26" ht="12.75" customHeight="1" x14ac:dyDescent="0.35">
      <c r="B17" s="379" t="s">
        <v>241</v>
      </c>
      <c r="C17" s="380"/>
      <c r="D17" s="381">
        <f>SUM(D8:D16)</f>
        <v>24818313.021031547</v>
      </c>
      <c r="E17" s="382">
        <f>+D17/$D$17</f>
        <v>1</v>
      </c>
      <c r="F17" s="383">
        <f>+D17/$F$5</f>
        <v>240954.49534982085</v>
      </c>
      <c r="G17" s="8"/>
      <c r="H17" s="8"/>
      <c r="I17" s="39" t="s">
        <v>242</v>
      </c>
      <c r="J17" s="58"/>
      <c r="K17" s="58"/>
      <c r="L17" s="58"/>
      <c r="M17" s="366">
        <f>+Inputs!F35</f>
        <v>5687500</v>
      </c>
      <c r="N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2:26" ht="12.75" customHeight="1" x14ac:dyDescent="0.35">
      <c r="B18" s="356"/>
      <c r="C18" s="357"/>
      <c r="D18" s="384"/>
      <c r="E18" s="385"/>
      <c r="F18" s="386"/>
      <c r="G18" s="8"/>
      <c r="H18" s="8"/>
      <c r="I18" s="38" t="s">
        <v>243</v>
      </c>
      <c r="J18" s="95"/>
      <c r="K18" s="95"/>
      <c r="L18" s="95"/>
      <c r="M18" s="387">
        <f>+M17/D8</f>
        <v>0.65</v>
      </c>
      <c r="N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2:26" ht="12.75" customHeight="1" x14ac:dyDescent="0.35">
      <c r="B19" s="356" t="s">
        <v>244</v>
      </c>
      <c r="C19" s="357"/>
      <c r="D19" s="384"/>
      <c r="E19" s="385"/>
      <c r="F19" s="386"/>
      <c r="G19" s="8"/>
      <c r="H19" s="8"/>
      <c r="I19" s="38" t="s">
        <v>123</v>
      </c>
      <c r="J19" s="95"/>
      <c r="K19" s="95"/>
      <c r="L19" s="95"/>
      <c r="M19" s="16">
        <f>+Inputs!F34</f>
        <v>7.1499999999999994E-2</v>
      </c>
      <c r="N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2:26" ht="12.75" customHeight="1" x14ac:dyDescent="0.35">
      <c r="B20" s="388" t="s">
        <v>114</v>
      </c>
      <c r="C20" s="389"/>
      <c r="D20" s="390">
        <f>+Inputs!F35</f>
        <v>5687500</v>
      </c>
      <c r="E20" s="391">
        <f>+D20/$D$17</f>
        <v>0.22916545516934594</v>
      </c>
      <c r="F20" s="392">
        <f>+D20/$F$5</f>
        <v>55218.446601941745</v>
      </c>
      <c r="G20" s="8"/>
      <c r="H20" s="8"/>
      <c r="I20" s="49" t="s">
        <v>245</v>
      </c>
      <c r="J20" s="50"/>
      <c r="K20" s="50"/>
      <c r="L20" s="50"/>
      <c r="M20" s="393">
        <f>+Inputs!F36</f>
        <v>56875</v>
      </c>
      <c r="N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2:26" ht="12.75" customHeight="1" x14ac:dyDescent="0.35">
      <c r="B21" s="376" t="s">
        <v>246</v>
      </c>
      <c r="C21" s="377"/>
      <c r="D21" s="394">
        <f>+Inputs!F44</f>
        <v>0</v>
      </c>
      <c r="E21" s="395">
        <f t="shared" ref="E21:E22" si="3">+D21/$D$17+E20</f>
        <v>0.22916545516934594</v>
      </c>
      <c r="F21" s="378">
        <f>+D21/$F$5+F20</f>
        <v>55218.446601941745</v>
      </c>
      <c r="G21" s="8"/>
      <c r="H21" s="8"/>
      <c r="I21" s="38" t="s">
        <v>142</v>
      </c>
      <c r="J21" s="95"/>
      <c r="K21" s="95"/>
      <c r="L21" s="95"/>
      <c r="M21" s="396" t="str">
        <f>+Inputs!F37</f>
        <v>Amortized</v>
      </c>
      <c r="N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2:26" ht="12.75" customHeight="1" x14ac:dyDescent="0.35">
      <c r="B22" s="376" t="s">
        <v>22</v>
      </c>
      <c r="C22" s="377"/>
      <c r="D22" s="440">
        <f>+'Annual Cash Flows'!E117</f>
        <v>19130813.021031547</v>
      </c>
      <c r="E22" s="395">
        <f t="shared" si="3"/>
        <v>1</v>
      </c>
      <c r="F22" s="397">
        <f>+D22/$F$5+F16</f>
        <v>391799.76739867078</v>
      </c>
      <c r="G22" s="8"/>
      <c r="H22" s="8"/>
      <c r="I22" s="38" t="s">
        <v>247</v>
      </c>
      <c r="J22" s="95"/>
      <c r="K22" s="95"/>
      <c r="L22" s="95"/>
      <c r="M22" s="398">
        <f>+IF(Inputs!E37=1, "N/A",Inputs!F38)</f>
        <v>25</v>
      </c>
      <c r="N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2:26" ht="12.75" customHeight="1" x14ac:dyDescent="0.35">
      <c r="B23" s="399" t="s">
        <v>248</v>
      </c>
      <c r="C23" s="400"/>
      <c r="D23" s="401">
        <f>SUM(D20:D22)</f>
        <v>24818313.021031547</v>
      </c>
      <c r="E23" s="402">
        <f>+D23/$D$17</f>
        <v>1</v>
      </c>
      <c r="F23" s="403">
        <f>+D23/$F$5</f>
        <v>240954.49534982085</v>
      </c>
      <c r="G23" s="8"/>
      <c r="H23" s="8"/>
      <c r="I23" s="38" t="s">
        <v>249</v>
      </c>
      <c r="J23" s="95"/>
      <c r="K23" s="95"/>
      <c r="L23" s="95"/>
      <c r="M23" s="404">
        <f>Inputs!F39</f>
        <v>494660.30320318299</v>
      </c>
      <c r="N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2:26" ht="12.75" customHeight="1" x14ac:dyDescent="0.35">
      <c r="B24" s="8"/>
      <c r="C24" s="8"/>
      <c r="D24" s="8"/>
      <c r="E24" s="8"/>
      <c r="F24" s="8"/>
      <c r="G24" s="8"/>
      <c r="H24" s="8"/>
      <c r="I24" s="38" t="s">
        <v>250</v>
      </c>
      <c r="J24" s="95"/>
      <c r="K24" s="95"/>
      <c r="L24" s="95"/>
      <c r="M24" s="18">
        <f>+'Annual Cash Flows'!H61/-('Annual Cash Flows'!H93+'Annual Cash Flows'!H99)</f>
        <v>-1.2458773218364436</v>
      </c>
      <c r="N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2:26" ht="12.75" customHeight="1" x14ac:dyDescent="0.35">
      <c r="B25" s="12" t="s">
        <v>2</v>
      </c>
      <c r="C25" s="13"/>
      <c r="D25" s="13"/>
      <c r="E25" s="13"/>
      <c r="F25" s="14"/>
      <c r="G25" s="8"/>
      <c r="H25" s="8"/>
      <c r="I25" s="49" t="s">
        <v>251</v>
      </c>
      <c r="J25" s="50"/>
      <c r="K25" s="50"/>
      <c r="L25" s="50"/>
      <c r="M25" s="405">
        <f>+'Annual Cash Flows'!J61/-('Annual Cash Flows'!J93+'Annual Cash Flows'!J99)</f>
        <v>-0.70023912250539377</v>
      </c>
      <c r="N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2:26" ht="12.75" customHeight="1" x14ac:dyDescent="0.35">
      <c r="B26" s="92"/>
      <c r="C26" s="8"/>
      <c r="D26" s="8"/>
      <c r="E26" s="8"/>
      <c r="F26" s="93"/>
      <c r="G26" s="8"/>
      <c r="H26" s="8"/>
      <c r="I26" s="92"/>
      <c r="J26" s="8"/>
      <c r="K26" s="8"/>
      <c r="L26" s="8"/>
      <c r="M26" s="93"/>
      <c r="N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2:26" ht="12.75" customHeight="1" x14ac:dyDescent="0.35">
      <c r="B27" s="92"/>
      <c r="C27" s="352" t="s">
        <v>252</v>
      </c>
      <c r="D27" s="352" t="s">
        <v>253</v>
      </c>
      <c r="E27" s="352" t="s">
        <v>254</v>
      </c>
      <c r="F27" s="353" t="s">
        <v>255</v>
      </c>
      <c r="G27" s="8"/>
      <c r="H27" s="8"/>
      <c r="I27" s="122" t="s">
        <v>246</v>
      </c>
      <c r="J27" s="8"/>
      <c r="K27" s="8"/>
      <c r="L27" s="8"/>
      <c r="M27" s="93"/>
      <c r="N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2:26" ht="12.75" customHeight="1" x14ac:dyDescent="0.35">
      <c r="B28" s="360" t="s">
        <v>256</v>
      </c>
      <c r="C28" s="437">
        <f>+'Annual Cash Flows'!E73</f>
        <v>16292196.361529984</v>
      </c>
      <c r="D28" s="406" t="e">
        <f>+'Annual Cash Flows'!E74</f>
        <v>#NUM!</v>
      </c>
      <c r="E28" s="362">
        <f>+'Annual Cash Flows'!E75</f>
        <v>-16292196.361529984</v>
      </c>
      <c r="F28" s="407">
        <f>+'Annual Cash Flows'!E76</f>
        <v>0</v>
      </c>
      <c r="G28" s="8"/>
      <c r="H28" s="8"/>
      <c r="I28" s="39" t="s">
        <v>242</v>
      </c>
      <c r="J28" s="58"/>
      <c r="K28" s="58"/>
      <c r="L28" s="58"/>
      <c r="M28" s="366">
        <f>+Inputs!F44</f>
        <v>0</v>
      </c>
      <c r="N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2:26" ht="12.75" customHeight="1" x14ac:dyDescent="0.35">
      <c r="B29" s="360" t="s">
        <v>257</v>
      </c>
      <c r="C29" s="437">
        <f>+'Annual Cash Flows'!E117</f>
        <v>19130813.021031547</v>
      </c>
      <c r="D29" s="406" t="e">
        <f>+'Annual Cash Flows'!E118</f>
        <v>#NUM!</v>
      </c>
      <c r="E29" s="362">
        <f>+'Annual Cash Flows'!E119</f>
        <v>-19130813.021031547</v>
      </c>
      <c r="F29" s="407">
        <f>+'Annual Cash Flows'!E120</f>
        <v>0</v>
      </c>
      <c r="G29" s="8"/>
      <c r="H29" s="8"/>
      <c r="I29" s="38" t="s">
        <v>243</v>
      </c>
      <c r="J29" s="95"/>
      <c r="K29" s="95"/>
      <c r="L29" s="95"/>
      <c r="M29" s="387">
        <f>+Inputs!E42</f>
        <v>0.65</v>
      </c>
      <c r="N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2:26" ht="12.75" customHeight="1" x14ac:dyDescent="0.35">
      <c r="B30" s="408" t="s">
        <v>258</v>
      </c>
      <c r="C30" s="438">
        <f>Inputs!J6</f>
        <v>13391569.114722084</v>
      </c>
      <c r="D30" s="409" t="e">
        <f>Waterfall!C121</f>
        <v>#NUM!</v>
      </c>
      <c r="E30" s="410">
        <f>Waterfall!C122</f>
        <v>-13391569.114722084</v>
      </c>
      <c r="F30" s="411">
        <f>Waterfall!C124</f>
        <v>0</v>
      </c>
      <c r="G30" s="8"/>
      <c r="H30" s="8"/>
      <c r="I30" s="38" t="s">
        <v>123</v>
      </c>
      <c r="J30" s="95"/>
      <c r="K30" s="95"/>
      <c r="L30" s="95"/>
      <c r="M30" s="16">
        <f>+Inputs!F43</f>
        <v>0.13</v>
      </c>
      <c r="N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2:26" ht="12.75" customHeight="1" x14ac:dyDescent="0.35">
      <c r="B31" s="412" t="s">
        <v>259</v>
      </c>
      <c r="C31" s="439">
        <f>Inputs!J5</f>
        <v>5739243.906309464</v>
      </c>
      <c r="D31" s="413" t="str">
        <f>Waterfall!C146</f>
        <v>n/a</v>
      </c>
      <c r="E31" s="414">
        <f>Waterfall!C147</f>
        <v>-5739243.906309464</v>
      </c>
      <c r="F31" s="415">
        <f>Waterfall!C149</f>
        <v>0</v>
      </c>
      <c r="G31" s="8"/>
      <c r="H31" s="8"/>
      <c r="I31" s="38" t="s">
        <v>245</v>
      </c>
      <c r="J31" s="95"/>
      <c r="K31" s="95"/>
      <c r="L31" s="95"/>
      <c r="M31" s="416">
        <f>+Inputs!F45</f>
        <v>0</v>
      </c>
      <c r="N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2:26" ht="12.75" customHeight="1" x14ac:dyDescent="0.35">
      <c r="B32" s="412" t="s">
        <v>260</v>
      </c>
      <c r="C32" s="414" t="s">
        <v>261</v>
      </c>
      <c r="D32" s="413" t="s">
        <v>261</v>
      </c>
      <c r="E32" s="414">
        <f>Waterfall!C140</f>
        <v>0</v>
      </c>
      <c r="F32" s="415" t="s">
        <v>261</v>
      </c>
      <c r="G32" s="8"/>
      <c r="H32" s="8"/>
      <c r="I32" s="38" t="s">
        <v>142</v>
      </c>
      <c r="J32" s="95"/>
      <c r="K32" s="95"/>
      <c r="L32" s="95"/>
      <c r="M32" s="396" t="str">
        <f>+Inputs!F46</f>
        <v>Interest Only</v>
      </c>
      <c r="N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2:26" ht="12.75" customHeight="1" x14ac:dyDescent="0.35">
      <c r="B33" s="8"/>
      <c r="C33" s="8"/>
      <c r="D33" s="8"/>
      <c r="E33" s="8"/>
      <c r="F33" s="8"/>
      <c r="G33" s="8"/>
      <c r="H33" s="8"/>
      <c r="I33" s="38" t="s">
        <v>247</v>
      </c>
      <c r="J33" s="95"/>
      <c r="K33" s="95"/>
      <c r="L33" s="95"/>
      <c r="M33" s="398" t="str">
        <f>+IF(Inputs!E46=1, "N/A",Inputs!F47)</f>
        <v>N/A</v>
      </c>
      <c r="N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2:26" ht="12.75" customHeight="1" x14ac:dyDescent="0.35">
      <c r="B34" s="12" t="s">
        <v>262</v>
      </c>
      <c r="C34" s="13"/>
      <c r="D34" s="13"/>
      <c r="E34" s="13"/>
      <c r="F34" s="13"/>
      <c r="G34" s="14"/>
      <c r="H34" s="8"/>
      <c r="I34" s="49" t="s">
        <v>249</v>
      </c>
      <c r="J34" s="50"/>
      <c r="K34" s="50"/>
      <c r="L34" s="50"/>
      <c r="M34" s="417">
        <f>Inputs!F48</f>
        <v>0</v>
      </c>
      <c r="N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2:26" ht="12.75" customHeight="1" x14ac:dyDescent="0.35">
      <c r="B35" s="92"/>
      <c r="C35" s="8"/>
      <c r="D35" s="8"/>
      <c r="E35" s="8"/>
      <c r="F35" s="359" t="s">
        <v>263</v>
      </c>
      <c r="G35" s="93"/>
      <c r="H35" s="8"/>
      <c r="I35" s="38" t="s">
        <v>250</v>
      </c>
      <c r="J35" s="95"/>
      <c r="K35" s="95"/>
      <c r="L35" s="95"/>
      <c r="M35" s="18">
        <f>+'Annual Cash Flows'!H61/(-('Annual Cash Flows'!H105+'Annual Cash Flows'!H111)-('Annual Cash Flows'!H93+'Annual Cash Flows'!H99))</f>
        <v>-1.2458773218364436</v>
      </c>
      <c r="N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2:26" ht="12.75" customHeight="1" x14ac:dyDescent="0.35">
      <c r="B36" s="418" t="s">
        <v>111</v>
      </c>
      <c r="C36" s="352" t="s">
        <v>264</v>
      </c>
      <c r="D36" s="352" t="s">
        <v>265</v>
      </c>
      <c r="E36" s="352" t="s">
        <v>219</v>
      </c>
      <c r="F36" s="352" t="s">
        <v>266</v>
      </c>
      <c r="G36" s="353" t="s">
        <v>267</v>
      </c>
      <c r="H36" s="8"/>
      <c r="I36" s="49" t="s">
        <v>251</v>
      </c>
      <c r="J36" s="50"/>
      <c r="K36" s="50"/>
      <c r="L36" s="50"/>
      <c r="M36" s="405">
        <f>+'Annual Cash Flows'!J61/(-('Annual Cash Flows'!J105+'Annual Cash Flows'!J111)-('Annual Cash Flows'!J93+'Annual Cash Flows'!J99))</f>
        <v>-0.70023912250539377</v>
      </c>
      <c r="N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2:26" ht="12.75" customHeight="1" x14ac:dyDescent="0.35">
      <c r="B37" s="92"/>
      <c r="C37" s="8"/>
      <c r="D37" s="21"/>
      <c r="E37" s="45"/>
      <c r="F37" s="45"/>
      <c r="G37" s="131"/>
      <c r="H37" s="8"/>
      <c r="I37" s="92"/>
      <c r="J37" s="8"/>
      <c r="K37" s="8"/>
      <c r="L37" s="8"/>
      <c r="M37" s="93"/>
      <c r="N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2:26" ht="12.75" customHeight="1" x14ac:dyDescent="0.35">
      <c r="B38" s="419">
        <v>1</v>
      </c>
      <c r="C38" s="420">
        <f t="array" ref="C38">+INDEX('Annual Cash Flows'!$G$7:$R$7,MATCH(Summary!B38,'Annual Cash Flows'!$G$8:$R$8))</f>
        <v>45869</v>
      </c>
      <c r="D38" s="421">
        <f t="array" ref="D38">+INDEX('Annual Cash Flows'!$G$61:$R$61,MATCH(Summary!B38+1,'Annual Cash Flows'!$G$8:$R$8))</f>
        <v>-480754.03683953779</v>
      </c>
      <c r="E38" s="422"/>
      <c r="F38" s="423">
        <f t="shared" ref="F38:F47" si="4">+D38/SUM($D$8:$D$9)</f>
        <v>-5.3865998525438406E-2</v>
      </c>
      <c r="G38" s="424">
        <f>+F38-Inputs!$L$20</f>
        <v>-0.13886599852543841</v>
      </c>
      <c r="H38" s="8"/>
      <c r="I38" s="122" t="s">
        <v>103</v>
      </c>
      <c r="J38" s="8"/>
      <c r="K38" s="8"/>
      <c r="L38" s="8"/>
      <c r="M38" s="93"/>
      <c r="N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2:26" ht="12.75" customHeight="1" x14ac:dyDescent="0.35">
      <c r="B39" s="419">
        <f t="shared" ref="B39:B47" si="5">+B38+1</f>
        <v>2</v>
      </c>
      <c r="C39" s="425">
        <f t="array" ref="C39">+INDEX('Annual Cash Flows'!$G$7:$R$7,MATCH(Summary!B39,'Annual Cash Flows'!$G$8:$R$8))</f>
        <v>46234</v>
      </c>
      <c r="D39" s="426">
        <f t="array" ref="D39">+INDEX('Annual Cash Flows'!$G$61:$R$61,MATCH(Summary!B39+1,'Annual Cash Flows'!$G$8:$R$8))</f>
        <v>-346380.49665324891</v>
      </c>
      <c r="E39" s="123">
        <f t="shared" ref="E39:E47" si="6">+D39/D38-1</f>
        <v>-0.27950579691364918</v>
      </c>
      <c r="F39" s="123">
        <f t="shared" si="4"/>
        <v>-3.881013968103629E-2</v>
      </c>
      <c r="G39" s="427">
        <f>+F39-Inputs!$L$20</f>
        <v>-0.1238101396810363</v>
      </c>
      <c r="H39" s="8"/>
      <c r="I39" s="39" t="s">
        <v>242</v>
      </c>
      <c r="J39" s="58"/>
      <c r="K39" s="58"/>
      <c r="L39" s="58"/>
      <c r="M39" s="366">
        <f>+Inputs!L38</f>
        <v>-2686623.1236508889</v>
      </c>
      <c r="N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2:26" ht="12.75" customHeight="1" x14ac:dyDescent="0.35">
      <c r="B40" s="419">
        <f t="shared" si="5"/>
        <v>3</v>
      </c>
      <c r="C40" s="425">
        <f t="array" ref="C40">+INDEX('Annual Cash Flows'!$G$7:$R$7,MATCH(Summary!B40,'Annual Cash Flows'!$G$8:$R$8))</f>
        <v>46599</v>
      </c>
      <c r="D40" s="426">
        <f t="array" ref="D40">+INDEX('Annual Cash Flows'!$G$61:$R$61,MATCH(Summary!B40+1,'Annual Cash Flows'!$G$8:$R$8))</f>
        <v>-351327.6392466547</v>
      </c>
      <c r="E40" s="123">
        <f t="shared" si="6"/>
        <v>1.4282393613974875E-2</v>
      </c>
      <c r="F40" s="123">
        <f t="shared" si="4"/>
        <v>-3.9364441372174194E-2</v>
      </c>
      <c r="G40" s="427">
        <f>+F40-Inputs!$L$20</f>
        <v>-0.1243644413721742</v>
      </c>
      <c r="H40" s="8"/>
      <c r="I40" s="38" t="s">
        <v>268</v>
      </c>
      <c r="J40" s="95"/>
      <c r="K40" s="95"/>
      <c r="L40" s="95"/>
      <c r="M40" s="387">
        <f>+Inputs!L36</f>
        <v>0.65</v>
      </c>
      <c r="N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2:26" ht="12.75" customHeight="1" x14ac:dyDescent="0.35">
      <c r="B41" s="419">
        <f t="shared" si="5"/>
        <v>4</v>
      </c>
      <c r="C41" s="425">
        <f t="array" ref="C41">+INDEX('Annual Cash Flows'!$G$7:$R$7,MATCH(Summary!B41,'Annual Cash Flows'!$G$8:$R$8))</f>
        <v>46965</v>
      </c>
      <c r="D41" s="426">
        <f t="array" ref="D41">+INDEX('Annual Cash Flows'!$G$61:$R$61,MATCH(Summary!B41+1,'Annual Cash Flows'!$G$8:$R$8))</f>
        <v>-356236.43218714616</v>
      </c>
      <c r="E41" s="123">
        <f t="shared" si="6"/>
        <v>1.3972122862343728E-2</v>
      </c>
      <c r="F41" s="123">
        <f t="shared" si="4"/>
        <v>-3.9914446183433747E-2</v>
      </c>
      <c r="G41" s="427">
        <f>+F41-Inputs!$L$20</f>
        <v>-0.12491444618343375</v>
      </c>
      <c r="H41" s="8"/>
      <c r="I41" s="38" t="s">
        <v>123</v>
      </c>
      <c r="J41" s="95"/>
      <c r="K41" s="95"/>
      <c r="L41" s="95"/>
      <c r="M41" s="16">
        <f>+Inputs!L37</f>
        <v>7.0000000000000007E-2</v>
      </c>
      <c r="N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2:26" ht="12.75" customHeight="1" x14ac:dyDescent="0.35">
      <c r="B42" s="419">
        <f t="shared" si="5"/>
        <v>5</v>
      </c>
      <c r="C42" s="425">
        <f t="array" ref="C42">+INDEX('Annual Cash Flows'!$G$7:$R$7,MATCH(Summary!B42,'Annual Cash Flows'!$G$8:$R$8))</f>
        <v>47330</v>
      </c>
      <c r="D42" s="426">
        <f t="array" ref="D42">+INDEX('Annual Cash Flows'!$G$61:$R$61,MATCH(Summary!B42+1,'Annual Cash Flows'!$G$8:$R$8))</f>
        <v>-361099.3396715605</v>
      </c>
      <c r="E42" s="123">
        <f t="shared" si="6"/>
        <v>1.3650786514332935E-2</v>
      </c>
      <c r="F42" s="123">
        <f t="shared" si="4"/>
        <v>-4.0459309767121622E-2</v>
      </c>
      <c r="G42" s="427">
        <f>+F42-Inputs!$L$20</f>
        <v>-0.12545930976712164</v>
      </c>
      <c r="H42" s="8"/>
      <c r="I42" s="38" t="s">
        <v>245</v>
      </c>
      <c r="J42" s="95"/>
      <c r="K42" s="95"/>
      <c r="L42" s="95"/>
      <c r="M42" s="416">
        <f>+Inputs!L39</f>
        <v>-26866.231236508891</v>
      </c>
      <c r="N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2:26" ht="12.75" customHeight="1" x14ac:dyDescent="0.35">
      <c r="B43" s="419">
        <f t="shared" si="5"/>
        <v>6</v>
      </c>
      <c r="C43" s="425">
        <f t="array" ref="C43">+INDEX('Annual Cash Flows'!$G$7:$R$7,MATCH(Summary!B43,'Annual Cash Flows'!$G$8:$R$8))</f>
        <v>47695</v>
      </c>
      <c r="D43" s="426">
        <f t="array" ref="D43">+INDEX('Annual Cash Flows'!$G$61:$R$61,MATCH(Summary!B43+1,'Annual Cash Flows'!$G$8:$R$8))</f>
        <v>-365908.38239362452</v>
      </c>
      <c r="E43" s="123">
        <f t="shared" si="6"/>
        <v>1.3317783207352551E-2</v>
      </c>
      <c r="F43" s="123">
        <f t="shared" si="4"/>
        <v>-4.0998138083319272E-2</v>
      </c>
      <c r="G43" s="427">
        <f>+F43-Inputs!$L$20</f>
        <v>-0.12599813808331928</v>
      </c>
      <c r="H43" s="8"/>
      <c r="I43" s="38" t="s">
        <v>142</v>
      </c>
      <c r="J43" s="95"/>
      <c r="K43" s="95"/>
      <c r="L43" s="95"/>
      <c r="M43" s="396" t="str">
        <f>+Inputs!L40</f>
        <v>Amortized</v>
      </c>
      <c r="N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2:26" ht="12.75" customHeight="1" x14ac:dyDescent="0.35">
      <c r="B44" s="419">
        <f t="shared" si="5"/>
        <v>7</v>
      </c>
      <c r="C44" s="425">
        <f t="array" ref="C44">+INDEX('Annual Cash Flows'!$G$7:$R$7,MATCH(Summary!B44,'Annual Cash Flows'!$G$8:$R$8))</f>
        <v>48060</v>
      </c>
      <c r="D44" s="426">
        <f t="array" ref="D44">+INDEX('Annual Cash Flows'!$G$61:$R$61,MATCH(Summary!B44+1,'Annual Cash Flows'!$G$8:$R$8))</f>
        <v>-370655.11687112693</v>
      </c>
      <c r="E44" s="123">
        <f t="shared" si="6"/>
        <v>1.297246716910716E-2</v>
      </c>
      <c r="F44" s="123">
        <f t="shared" si="4"/>
        <v>-4.1529985083599653E-2</v>
      </c>
      <c r="G44" s="427">
        <f>+F44-Inputs!$L$20</f>
        <v>-0.12652998508359967</v>
      </c>
      <c r="H44" s="8"/>
      <c r="I44" s="38" t="s">
        <v>247</v>
      </c>
      <c r="J44" s="95"/>
      <c r="K44" s="95"/>
      <c r="L44" s="95"/>
      <c r="M44" s="398">
        <f>+IF(Inputs!K40=1, "N/A",Inputs!L41)</f>
        <v>25</v>
      </c>
      <c r="N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2:26" ht="12.75" customHeight="1" x14ac:dyDescent="0.35">
      <c r="B45" s="419">
        <f t="shared" si="5"/>
        <v>8</v>
      </c>
      <c r="C45" s="425">
        <f t="array" ref="C45">+INDEX('Annual Cash Flows'!$G$7:$R$7,MATCH(Summary!B45,'Annual Cash Flows'!$G$8:$R$8))</f>
        <v>48426</v>
      </c>
      <c r="D45" s="426">
        <f t="array" ref="D45">+INDEX('Annual Cash Flows'!$G$61:$R$61,MATCH(Summary!B45+1,'Annual Cash Flows'!$G$8:$R$8))</f>
        <v>-375330.61390471767</v>
      </c>
      <c r="E45" s="123">
        <f t="shared" si="6"/>
        <v>1.2614144040580921E-2</v>
      </c>
      <c r="F45" s="123">
        <f t="shared" si="4"/>
        <v>-4.2053850297447355E-2</v>
      </c>
      <c r="G45" s="427">
        <f>+F45-Inputs!$L$20</f>
        <v>-0.12705385029744737</v>
      </c>
      <c r="H45" s="8"/>
      <c r="I45" s="99" t="s">
        <v>249</v>
      </c>
      <c r="J45" s="100"/>
      <c r="K45" s="100"/>
      <c r="L45" s="100"/>
      <c r="M45" s="428">
        <f>Inputs!L42</f>
        <v>-230540.51981748306</v>
      </c>
      <c r="N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2:26" ht="12.75" customHeight="1" x14ac:dyDescent="0.35">
      <c r="B46" s="419">
        <f t="shared" si="5"/>
        <v>9</v>
      </c>
      <c r="C46" s="425">
        <f t="array" ref="C46">+INDEX('Annual Cash Flows'!$G$7:$R$7,MATCH(Summary!B46,'Annual Cash Flows'!$G$8:$R$8))</f>
        <v>48791</v>
      </c>
      <c r="D46" s="426">
        <f t="array" ref="D46">+INDEX('Annual Cash Flows'!$G$61:$R$61,MATCH(Summary!B46+1,'Annual Cash Flows'!$G$8:$R$8))</f>
        <v>-379925.43613400485</v>
      </c>
      <c r="E46" s="123">
        <f t="shared" si="6"/>
        <v>1.224206621859425E-2</v>
      </c>
      <c r="F46" s="123">
        <f t="shared" si="4"/>
        <v>-4.256867631753556E-2</v>
      </c>
      <c r="G46" s="427">
        <f>+F46-Inputs!$L$20</f>
        <v>-0.12756867631753557</v>
      </c>
      <c r="H46" s="8"/>
      <c r="I46" s="8"/>
      <c r="J46" s="8"/>
      <c r="K46" s="8"/>
      <c r="L46" s="8"/>
      <c r="M46" s="8"/>
      <c r="N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2:26" ht="12.75" customHeight="1" x14ac:dyDescent="0.35">
      <c r="B47" s="429">
        <f t="shared" si="5"/>
        <v>10</v>
      </c>
      <c r="C47" s="430">
        <f t="array" ref="C47">+INDEX('Annual Cash Flows'!$G$7:$R$7,MATCH(Summary!B47,'Annual Cash Flows'!$G$8:$R$8))</f>
        <v>49156</v>
      </c>
      <c r="D47" s="431">
        <f t="array" ref="D47">+INDEX('Annual Cash Flows'!$G$61:$R$61,MATCH(Summary!B47+1,'Annual Cash Flows'!$G$8:$R$8))</f>
        <v>-384429.61465527222</v>
      </c>
      <c r="E47" s="124">
        <f t="shared" si="6"/>
        <v>1.1855427652068817E-2</v>
      </c>
      <c r="F47" s="124">
        <f t="shared" si="4"/>
        <v>-4.3073346179862436E-2</v>
      </c>
      <c r="G47" s="432">
        <f>+F47-Inputs!$L$20</f>
        <v>-0.12807334617986244</v>
      </c>
      <c r="H47" s="8"/>
      <c r="I47" s="8"/>
      <c r="J47" s="8"/>
      <c r="K47" s="8"/>
      <c r="L47" s="8"/>
      <c r="M47" s="8"/>
      <c r="N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2:26" ht="12.75" customHeight="1" x14ac:dyDescent="0.35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2:26" ht="12.75" customHeight="1" x14ac:dyDescent="0.35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2:26" ht="12.75" customHeight="1" x14ac:dyDescent="0.35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2:26" ht="12.75" customHeight="1" x14ac:dyDescent="0.35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2:26" ht="12.75" customHeight="1" x14ac:dyDescent="0.35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2:26" ht="12.75" customHeight="1" x14ac:dyDescent="0.35">
      <c r="B53" s="8"/>
      <c r="C53" s="8"/>
      <c r="D53" s="8"/>
      <c r="E53" s="8"/>
      <c r="F53" s="8"/>
      <c r="G53" s="8"/>
      <c r="H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2:26" ht="12.75" customHeight="1" x14ac:dyDescent="0.35">
      <c r="B54" s="8"/>
      <c r="C54" s="8"/>
      <c r="D54" s="8"/>
      <c r="E54" s="8"/>
      <c r="F54" s="8"/>
      <c r="G54" s="8"/>
      <c r="H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2:26" ht="12.75" customHeight="1" x14ac:dyDescent="0.35">
      <c r="B55" s="8"/>
      <c r="C55" s="8"/>
      <c r="D55" s="8"/>
      <c r="E55" s="8"/>
      <c r="F55" s="8"/>
      <c r="G55" s="8"/>
      <c r="H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2:26" ht="12.75" customHeight="1" x14ac:dyDescent="0.35">
      <c r="B56" s="8"/>
      <c r="C56" s="8"/>
      <c r="D56" s="8"/>
      <c r="E56" s="8"/>
      <c r="F56" s="8"/>
      <c r="G56" s="8"/>
      <c r="H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2:26" ht="12.75" customHeight="1" x14ac:dyDescent="0.35">
      <c r="B57" s="8"/>
      <c r="C57" s="8"/>
      <c r="D57" s="8"/>
      <c r="E57" s="8"/>
      <c r="F57" s="8"/>
      <c r="G57" s="8"/>
      <c r="H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2:26" ht="12.75" customHeight="1" x14ac:dyDescent="0.35">
      <c r="B58" s="8"/>
      <c r="C58" s="8"/>
      <c r="D58" s="8"/>
      <c r="E58" s="8"/>
      <c r="F58" s="8"/>
      <c r="G58" s="8"/>
      <c r="H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2:26" ht="12.75" customHeight="1" x14ac:dyDescent="0.35">
      <c r="B59" s="8"/>
      <c r="C59" s="8"/>
      <c r="D59" s="8"/>
      <c r="E59" s="8"/>
      <c r="F59" s="8"/>
      <c r="G59" s="8"/>
      <c r="H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2:26" ht="12.75" customHeight="1" x14ac:dyDescent="0.35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2:26" ht="12.75" customHeight="1" x14ac:dyDescent="0.35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2:26" ht="12.75" customHeight="1" x14ac:dyDescent="0.35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2:26" ht="12.75" customHeight="1" x14ac:dyDescent="0.35"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2:26" ht="12.75" customHeight="1" x14ac:dyDescent="0.35"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2:26" ht="12.75" customHeight="1" x14ac:dyDescent="0.35"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2:26" ht="12.75" customHeight="1" x14ac:dyDescent="0.3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2:26" ht="12.75" customHeight="1" x14ac:dyDescent="0.35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2:26" ht="12.75" customHeight="1" x14ac:dyDescent="0.35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2:26" ht="12.75" customHeight="1" x14ac:dyDescent="0.35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2:26" ht="12.75" customHeight="1" x14ac:dyDescent="0.35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2:26" ht="12.75" customHeight="1" x14ac:dyDescent="0.35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2:26" ht="12.75" customHeight="1" x14ac:dyDescent="0.35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2:26" ht="12.75" customHeight="1" x14ac:dyDescent="0.35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2:26" ht="12.75" customHeight="1" x14ac:dyDescent="0.35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2:26" ht="12.75" customHeight="1" x14ac:dyDescent="0.35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2:26" ht="12.75" customHeight="1" x14ac:dyDescent="0.35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2:26" ht="12.75" customHeight="1" x14ac:dyDescent="0.35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2:26" ht="12.75" customHeight="1" x14ac:dyDescent="0.35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2:26" ht="12.75" customHeight="1" x14ac:dyDescent="0.35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2:26" ht="12.75" customHeight="1" x14ac:dyDescent="0.35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2:26" ht="12.75" customHeight="1" x14ac:dyDescent="0.35"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2:26" ht="12.75" customHeight="1" x14ac:dyDescent="0.35"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2:26" ht="12.75" customHeight="1" x14ac:dyDescent="0.35"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2:26" ht="12.75" customHeight="1" x14ac:dyDescent="0.35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2:26" ht="12.75" customHeight="1" x14ac:dyDescent="0.35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2:26" ht="12.75" customHeight="1" x14ac:dyDescent="0.35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2:26" ht="12.75" customHeight="1" x14ac:dyDescent="0.35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2:26" ht="12.75" customHeight="1" x14ac:dyDescent="0.35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2:26" ht="12.75" customHeight="1" x14ac:dyDescent="0.35"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2:26" ht="12.75" customHeight="1" x14ac:dyDescent="0.35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2:26" ht="12.75" customHeight="1" x14ac:dyDescent="0.35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2:26" ht="12.75" customHeight="1" x14ac:dyDescent="0.35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2:26" ht="12.75" customHeight="1" x14ac:dyDescent="0.35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2:26" ht="12.75" customHeight="1" x14ac:dyDescent="0.35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2:26" ht="12.75" customHeight="1" x14ac:dyDescent="0.35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2:26" ht="12.75" customHeight="1" x14ac:dyDescent="0.35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2:26" ht="12.75" customHeight="1" x14ac:dyDescent="0.35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2:26" ht="12.75" customHeight="1" x14ac:dyDescent="0.35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2:26" ht="12.75" customHeight="1" x14ac:dyDescent="0.35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2:26" ht="12.75" customHeight="1" x14ac:dyDescent="0.35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2:26" ht="12.75" customHeight="1" x14ac:dyDescent="0.35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2:26" ht="12.75" customHeight="1" x14ac:dyDescent="0.35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2:26" ht="12.75" customHeight="1" x14ac:dyDescent="0.35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2:26" ht="12.75" customHeight="1" x14ac:dyDescent="0.35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2:26" ht="12.75" customHeight="1" x14ac:dyDescent="0.3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2:26" ht="12.75" customHeight="1" x14ac:dyDescent="0.35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2:26" ht="12.75" customHeight="1" x14ac:dyDescent="0.35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2:26" ht="12.75" customHeight="1" x14ac:dyDescent="0.35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2:26" ht="12.75" customHeight="1" x14ac:dyDescent="0.35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2:26" ht="12.75" customHeight="1" x14ac:dyDescent="0.35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2:26" ht="12.75" customHeight="1" x14ac:dyDescent="0.35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2:26" ht="12.75" customHeight="1" x14ac:dyDescent="0.35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2:26" ht="12.75" customHeight="1" x14ac:dyDescent="0.35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2:26" ht="12.75" customHeight="1" x14ac:dyDescent="0.35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2:26" ht="12.75" customHeight="1" x14ac:dyDescent="0.3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2:26" ht="12.75" customHeight="1" x14ac:dyDescent="0.35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2:26" ht="12.75" customHeight="1" x14ac:dyDescent="0.35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2:26" ht="12.75" customHeight="1" x14ac:dyDescent="0.35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2:26" ht="12.75" customHeight="1" x14ac:dyDescent="0.35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2:26" ht="12.75" customHeight="1" x14ac:dyDescent="0.35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2:26" ht="12.75" customHeight="1" x14ac:dyDescent="0.35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2:26" ht="12.75" customHeight="1" x14ac:dyDescent="0.35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2:26" ht="12.75" customHeight="1" x14ac:dyDescent="0.35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2:26" ht="12.75" customHeight="1" x14ac:dyDescent="0.35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2:26" ht="12.75" customHeight="1" x14ac:dyDescent="0.3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2:26" ht="12.75" customHeight="1" x14ac:dyDescent="0.35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2:26" ht="12.75" customHeight="1" x14ac:dyDescent="0.35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2:26" ht="12.75" customHeight="1" x14ac:dyDescent="0.35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2:26" ht="12.75" customHeight="1" x14ac:dyDescent="0.35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2:26" ht="12.75" customHeight="1" x14ac:dyDescent="0.3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2:26" ht="12.75" customHeight="1" x14ac:dyDescent="0.3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2:26" ht="12.75" customHeight="1" x14ac:dyDescent="0.3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2:26" ht="12.75" customHeight="1" x14ac:dyDescent="0.3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2:26" ht="12.75" customHeight="1" x14ac:dyDescent="0.3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2:26" ht="12.75" customHeight="1" x14ac:dyDescent="0.3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2:26" ht="12.75" customHeight="1" x14ac:dyDescent="0.35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2:26" ht="12.75" customHeight="1" x14ac:dyDescent="0.35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2:26" ht="12.75" customHeight="1" x14ac:dyDescent="0.35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2:26" ht="12.75" customHeight="1" x14ac:dyDescent="0.35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2:26" ht="12.75" customHeight="1" x14ac:dyDescent="0.35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2:26" ht="12.75" customHeight="1" x14ac:dyDescent="0.35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2:26" ht="12.75" customHeight="1" x14ac:dyDescent="0.35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2:26" ht="12.75" customHeight="1" x14ac:dyDescent="0.35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2:26" ht="12.75" customHeight="1" x14ac:dyDescent="0.35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2:26" ht="12.75" customHeight="1" x14ac:dyDescent="0.3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2:26" ht="12.75" customHeight="1" x14ac:dyDescent="0.35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2:26" ht="12.75" customHeight="1" x14ac:dyDescent="0.35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2:26" ht="12.75" customHeight="1" x14ac:dyDescent="0.35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2:26" ht="12.75" customHeight="1" x14ac:dyDescent="0.35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2:26" ht="12.75" customHeight="1" x14ac:dyDescent="0.35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2:26" ht="12.75" customHeight="1" x14ac:dyDescent="0.3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2:26" ht="12.75" customHeight="1" x14ac:dyDescent="0.35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2:26" ht="12.75" customHeight="1" x14ac:dyDescent="0.35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2:26" ht="12.75" customHeight="1" x14ac:dyDescent="0.35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2:26" ht="12.75" customHeight="1" x14ac:dyDescent="0.3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2:26" ht="12.75" customHeight="1" x14ac:dyDescent="0.35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2:26" ht="12.75" customHeight="1" x14ac:dyDescent="0.3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2:26" ht="12.75" customHeight="1" x14ac:dyDescent="0.35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2:26" ht="12.75" customHeight="1" x14ac:dyDescent="0.35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2:26" ht="12.75" customHeight="1" x14ac:dyDescent="0.35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2:26" ht="12.75" customHeight="1" x14ac:dyDescent="0.3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2:26" ht="12.75" customHeight="1" x14ac:dyDescent="0.3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2:26" ht="12.75" customHeight="1" x14ac:dyDescent="0.35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2:26" ht="12.75" customHeight="1" x14ac:dyDescent="0.35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2:26" ht="12.75" customHeight="1" x14ac:dyDescent="0.3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2:26" ht="12.75" customHeight="1" x14ac:dyDescent="0.35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2:26" ht="12.75" customHeight="1" x14ac:dyDescent="0.35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2:26" ht="12.75" customHeight="1" x14ac:dyDescent="0.35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2:26" ht="12.75" customHeight="1" x14ac:dyDescent="0.35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2:26" ht="12.75" customHeight="1" x14ac:dyDescent="0.35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2:26" ht="12.75" customHeight="1" x14ac:dyDescent="0.35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2:26" ht="12.75" customHeight="1" x14ac:dyDescent="0.35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2:26" ht="12.75" customHeight="1" x14ac:dyDescent="0.35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2:26" ht="12.75" customHeight="1" x14ac:dyDescent="0.35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2:26" ht="12.75" customHeight="1" x14ac:dyDescent="0.3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2:26" ht="12.75" customHeight="1" x14ac:dyDescent="0.35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2:26" ht="12.75" customHeight="1" x14ac:dyDescent="0.35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2:26" ht="12.75" customHeight="1" x14ac:dyDescent="0.35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2:26" ht="12.75" customHeight="1" x14ac:dyDescent="0.35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2:26" ht="12.75" customHeight="1" x14ac:dyDescent="0.35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2:26" ht="12.75" customHeight="1" x14ac:dyDescent="0.35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2:26" ht="12.75" customHeight="1" x14ac:dyDescent="0.35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2:26" ht="12.75" customHeight="1" x14ac:dyDescent="0.35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2:26" ht="12.75" customHeight="1" x14ac:dyDescent="0.35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2:26" ht="12.75" customHeight="1" x14ac:dyDescent="0.3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2:26" ht="12.75" customHeight="1" x14ac:dyDescent="0.35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2:26" ht="12.75" customHeight="1" x14ac:dyDescent="0.35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2:26" ht="12.75" customHeight="1" x14ac:dyDescent="0.35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2:26" ht="12.75" customHeight="1" x14ac:dyDescent="0.35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2:26" ht="12.75" customHeight="1" x14ac:dyDescent="0.35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2:26" ht="12.75" customHeight="1" x14ac:dyDescent="0.35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2:26" ht="12.75" customHeight="1" x14ac:dyDescent="0.35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2:26" ht="12.75" customHeight="1" x14ac:dyDescent="0.35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2:26" ht="12.75" customHeight="1" x14ac:dyDescent="0.35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2:26" ht="12.75" customHeight="1" x14ac:dyDescent="0.3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2:26" ht="12.75" customHeight="1" x14ac:dyDescent="0.35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2:26" ht="12.75" customHeight="1" x14ac:dyDescent="0.35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2:26" ht="12.75" customHeight="1" x14ac:dyDescent="0.35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2:26" ht="12.75" customHeight="1" x14ac:dyDescent="0.35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2:26" ht="12.75" customHeight="1" x14ac:dyDescent="0.35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2:26" ht="12.75" customHeight="1" x14ac:dyDescent="0.35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2:26" ht="12.75" customHeight="1" x14ac:dyDescent="0.35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2:26" ht="12.75" customHeight="1" x14ac:dyDescent="0.35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2:26" ht="12.75" customHeight="1" x14ac:dyDescent="0.35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2:26" ht="12.75" customHeight="1" x14ac:dyDescent="0.3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2:26" ht="12.75" customHeight="1" x14ac:dyDescent="0.35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2:26" ht="12.75" customHeight="1" x14ac:dyDescent="0.35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2:26" ht="12.75" customHeight="1" x14ac:dyDescent="0.35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2:26" ht="12.75" customHeight="1" x14ac:dyDescent="0.35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2:26" ht="12.75" customHeight="1" x14ac:dyDescent="0.35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2:26" ht="12.75" customHeight="1" x14ac:dyDescent="0.35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2:26" ht="12.75" customHeight="1" x14ac:dyDescent="0.35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2:26" ht="12.75" customHeight="1" x14ac:dyDescent="0.35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2:26" ht="12.75" customHeight="1" x14ac:dyDescent="0.35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2:26" ht="12.75" customHeight="1" x14ac:dyDescent="0.3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2:26" ht="12.75" customHeight="1" x14ac:dyDescent="0.35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2:26" ht="12.75" customHeight="1" x14ac:dyDescent="0.35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2:26" ht="12.75" customHeight="1" x14ac:dyDescent="0.35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2:26" ht="12.75" customHeight="1" x14ac:dyDescent="0.35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2:26" ht="12.75" customHeight="1" x14ac:dyDescent="0.35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2:26" ht="12.75" customHeight="1" x14ac:dyDescent="0.35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2:26" ht="12.75" customHeight="1" x14ac:dyDescent="0.35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2:26" ht="12.75" customHeight="1" x14ac:dyDescent="0.35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2:26" ht="12.75" customHeight="1" x14ac:dyDescent="0.35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2:26" ht="12.75" customHeight="1" x14ac:dyDescent="0.3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2:26" ht="12.75" customHeight="1" x14ac:dyDescent="0.35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2:26" ht="12.75" customHeight="1" x14ac:dyDescent="0.35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2:26" ht="12.75" customHeight="1" x14ac:dyDescent="0.35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2:26" ht="12.75" customHeight="1" x14ac:dyDescent="0.35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2:26" ht="12.75" customHeight="1" x14ac:dyDescent="0.35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2:26" ht="12.75" customHeight="1" x14ac:dyDescent="0.35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2:26" ht="12.75" customHeight="1" x14ac:dyDescent="0.35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2:26" ht="12.75" customHeight="1" x14ac:dyDescent="0.35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2:26" ht="12.75" customHeight="1" x14ac:dyDescent="0.35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2:26" ht="12.75" customHeight="1" x14ac:dyDescent="0.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2:26" ht="12.75" customHeight="1" x14ac:dyDescent="0.35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2:26" ht="12.75" customHeight="1" x14ac:dyDescent="0.35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2:26" ht="12.75" customHeight="1" x14ac:dyDescent="0.35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2:26" ht="12.75" customHeight="1" x14ac:dyDescent="0.35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2:26" ht="12.75" customHeight="1" x14ac:dyDescent="0.35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2:26" ht="12.75" customHeight="1" x14ac:dyDescent="0.35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2:26" ht="12.75" customHeight="1" x14ac:dyDescent="0.35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2:26" ht="12.75" customHeight="1" x14ac:dyDescent="0.35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2:26" ht="12.75" customHeight="1" x14ac:dyDescent="0.35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2:26" ht="12.75" customHeight="1" x14ac:dyDescent="0.3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2:26" ht="12.75" customHeight="1" x14ac:dyDescent="0.35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2:26" ht="12.75" customHeight="1" x14ac:dyDescent="0.35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2:26" ht="12.75" customHeight="1" x14ac:dyDescent="0.35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2:26" ht="12.75" customHeight="1" x14ac:dyDescent="0.35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2:26" ht="12.75" customHeight="1" x14ac:dyDescent="0.35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2:26" ht="12.75" customHeight="1" x14ac:dyDescent="0.35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2:26" ht="12.75" customHeight="1" x14ac:dyDescent="0.35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2:26" ht="12.75" customHeight="1" x14ac:dyDescent="0.35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2:26" ht="12.75" customHeight="1" x14ac:dyDescent="0.35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2:26" ht="12.75" customHeight="1" x14ac:dyDescent="0.3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2:26" ht="12.75" customHeight="1" x14ac:dyDescent="0.35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2:26" ht="12.75" customHeight="1" x14ac:dyDescent="0.35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2:26" ht="12.75" customHeight="1" x14ac:dyDescent="0.35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2:26" ht="12.75" customHeight="1" x14ac:dyDescent="0.35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2:26" ht="12.75" customHeight="1" x14ac:dyDescent="0.35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2:26" ht="12.75" customHeight="1" x14ac:dyDescent="0.35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2:26" ht="12.75" customHeight="1" x14ac:dyDescent="0.35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2:26" ht="12.75" customHeight="1" x14ac:dyDescent="0.35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2:26" ht="12.75" customHeight="1" x14ac:dyDescent="0.35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2:26" ht="12.75" customHeight="1" x14ac:dyDescent="0.3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2:26" ht="12.75" customHeight="1" x14ac:dyDescent="0.35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2:26" ht="12.75" customHeight="1" x14ac:dyDescent="0.35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2:26" ht="12.75" customHeight="1" x14ac:dyDescent="0.35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2:26" ht="12.75" customHeight="1" x14ac:dyDescent="0.35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2:26" ht="12.75" customHeight="1" x14ac:dyDescent="0.35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2:26" ht="12.75" customHeight="1" x14ac:dyDescent="0.35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2:26" ht="12.75" customHeight="1" x14ac:dyDescent="0.35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2:26" ht="12.75" customHeight="1" x14ac:dyDescent="0.35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2:26" ht="12.75" customHeight="1" x14ac:dyDescent="0.35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2:26" ht="12.75" customHeight="1" x14ac:dyDescent="0.3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2:26" ht="12.75" customHeight="1" x14ac:dyDescent="0.35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2:26" ht="12.75" customHeight="1" x14ac:dyDescent="0.35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2:26" ht="12.75" customHeight="1" x14ac:dyDescent="0.35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2:26" ht="12.75" customHeight="1" x14ac:dyDescent="0.35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2:26" ht="12.75" customHeight="1" x14ac:dyDescent="0.35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2:26" ht="12.75" customHeight="1" x14ac:dyDescent="0.35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2:26" ht="12.75" customHeight="1" x14ac:dyDescent="0.35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2:26" ht="12.75" customHeight="1" x14ac:dyDescent="0.35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2:26" ht="12.75" customHeight="1" x14ac:dyDescent="0.35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2:26" ht="12.75" customHeight="1" x14ac:dyDescent="0.3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2:26" ht="12.75" customHeight="1" x14ac:dyDescent="0.35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2:26" ht="12.75" customHeight="1" x14ac:dyDescent="0.35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2:26" ht="12.75" customHeight="1" x14ac:dyDescent="0.35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2:26" ht="12.75" customHeight="1" x14ac:dyDescent="0.35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2:26" ht="12.75" customHeight="1" x14ac:dyDescent="0.35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2:26" ht="12.75" customHeight="1" x14ac:dyDescent="0.35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2:26" ht="12.75" customHeight="1" x14ac:dyDescent="0.35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2:26" ht="12.75" customHeight="1" x14ac:dyDescent="0.35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2:26" ht="12.75" customHeight="1" x14ac:dyDescent="0.35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2:26" ht="12.75" customHeight="1" x14ac:dyDescent="0.3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2:26" ht="12.75" customHeight="1" x14ac:dyDescent="0.35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2:26" ht="12.75" customHeight="1" x14ac:dyDescent="0.35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2:26" ht="12.75" customHeight="1" x14ac:dyDescent="0.35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2:26" ht="12.75" customHeight="1" x14ac:dyDescent="0.35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2:26" ht="12.75" customHeight="1" x14ac:dyDescent="0.35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2:26" ht="12.75" customHeight="1" x14ac:dyDescent="0.35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2:26" ht="12.75" customHeight="1" x14ac:dyDescent="0.35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2:26" ht="12.75" customHeight="1" x14ac:dyDescent="0.35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2:26" ht="12.75" customHeight="1" x14ac:dyDescent="0.35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2:26" ht="12.75" customHeight="1" x14ac:dyDescent="0.3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2:26" ht="12.75" customHeight="1" x14ac:dyDescent="0.35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2:26" ht="12.75" customHeight="1" x14ac:dyDescent="0.35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2:26" ht="12.75" customHeight="1" x14ac:dyDescent="0.35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2:26" ht="12.75" customHeight="1" x14ac:dyDescent="0.35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2:26" ht="12.75" customHeight="1" x14ac:dyDescent="0.35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2:26" ht="12.75" customHeight="1" x14ac:dyDescent="0.35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2:26" ht="12.75" customHeight="1" x14ac:dyDescent="0.35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2:26" ht="12.75" customHeight="1" x14ac:dyDescent="0.35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2:26" ht="12.75" customHeight="1" x14ac:dyDescent="0.35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2:26" ht="12.75" customHeight="1" x14ac:dyDescent="0.3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2:26" ht="12.75" customHeight="1" x14ac:dyDescent="0.35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2:26" ht="12.75" customHeight="1" x14ac:dyDescent="0.35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2:26" ht="12.75" customHeight="1" x14ac:dyDescent="0.35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2:26" ht="12.75" customHeight="1" x14ac:dyDescent="0.35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2:26" ht="12.75" customHeight="1" x14ac:dyDescent="0.35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2:26" ht="12.75" customHeight="1" x14ac:dyDescent="0.35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2:26" ht="12.75" customHeight="1" x14ac:dyDescent="0.35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2:26" ht="12.75" customHeight="1" x14ac:dyDescent="0.35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2:26" ht="12.75" customHeight="1" x14ac:dyDescent="0.35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2:26" ht="12.75" customHeight="1" x14ac:dyDescent="0.3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2:26" ht="12.75" customHeight="1" x14ac:dyDescent="0.35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2:26" ht="12.75" customHeight="1" x14ac:dyDescent="0.35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2:26" ht="12.75" customHeight="1" x14ac:dyDescent="0.35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2:26" ht="12.75" customHeight="1" x14ac:dyDescent="0.35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2:26" ht="12.75" customHeight="1" x14ac:dyDescent="0.35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2:26" ht="12.75" customHeight="1" x14ac:dyDescent="0.35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2:26" ht="12.75" customHeight="1" x14ac:dyDescent="0.35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2:26" ht="12.75" customHeight="1" x14ac:dyDescent="0.35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2:26" ht="12.75" customHeight="1" x14ac:dyDescent="0.35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2:26" ht="12.75" customHeight="1" x14ac:dyDescent="0.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2:26" ht="12.75" customHeight="1" x14ac:dyDescent="0.35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2:26" ht="12.75" customHeight="1" x14ac:dyDescent="0.35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2:26" ht="12.75" customHeight="1" x14ac:dyDescent="0.35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2:26" ht="12.75" customHeight="1" x14ac:dyDescent="0.35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2:26" ht="12.75" customHeight="1" x14ac:dyDescent="0.35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2:26" ht="12.75" customHeight="1" x14ac:dyDescent="0.35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2:26" ht="12.75" customHeight="1" x14ac:dyDescent="0.35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2:26" ht="12.75" customHeight="1" x14ac:dyDescent="0.35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2:26" ht="12.75" customHeight="1" x14ac:dyDescent="0.35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2:26" ht="12.75" customHeight="1" x14ac:dyDescent="0.3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2:26" ht="12.75" customHeight="1" x14ac:dyDescent="0.35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2:26" ht="12.75" customHeight="1" x14ac:dyDescent="0.35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2:26" ht="12.75" customHeight="1" x14ac:dyDescent="0.35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2:26" ht="12.75" customHeight="1" x14ac:dyDescent="0.35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2:26" ht="12.75" customHeight="1" x14ac:dyDescent="0.35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2:26" ht="12.75" customHeight="1" x14ac:dyDescent="0.35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2:26" ht="12.75" customHeight="1" x14ac:dyDescent="0.35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2:26" ht="12.75" customHeight="1" x14ac:dyDescent="0.35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2:26" ht="12.75" customHeight="1" x14ac:dyDescent="0.35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2:26" ht="12.75" customHeight="1" x14ac:dyDescent="0.3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2:26" ht="12.75" customHeight="1" x14ac:dyDescent="0.35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2:26" ht="12.75" customHeight="1" x14ac:dyDescent="0.35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2:26" ht="12.75" customHeight="1" x14ac:dyDescent="0.35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2:26" ht="12.75" customHeight="1" x14ac:dyDescent="0.35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2:26" ht="12.75" customHeight="1" x14ac:dyDescent="0.35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2:26" ht="12.75" customHeight="1" x14ac:dyDescent="0.35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2:26" ht="12.75" customHeight="1" x14ac:dyDescent="0.35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2:26" ht="12.75" customHeight="1" x14ac:dyDescent="0.35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2:26" ht="12.75" customHeight="1" x14ac:dyDescent="0.35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2:26" ht="12.75" customHeight="1" x14ac:dyDescent="0.3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2:26" ht="12.75" customHeight="1" x14ac:dyDescent="0.35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2:26" ht="12.75" customHeight="1" x14ac:dyDescent="0.35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2:26" ht="12.75" customHeight="1" x14ac:dyDescent="0.35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2:26" ht="12.75" customHeight="1" x14ac:dyDescent="0.35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2:26" ht="12.75" customHeight="1" x14ac:dyDescent="0.35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2:26" ht="12.75" customHeight="1" x14ac:dyDescent="0.35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2:26" ht="12.75" customHeight="1" x14ac:dyDescent="0.35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2:26" ht="12.75" customHeight="1" x14ac:dyDescent="0.35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2:26" ht="12.75" customHeight="1" x14ac:dyDescent="0.35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2:26" ht="12.75" customHeight="1" x14ac:dyDescent="0.3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2:26" ht="12.75" customHeight="1" x14ac:dyDescent="0.35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2:26" ht="12.75" customHeight="1" x14ac:dyDescent="0.35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2:26" ht="12.75" customHeight="1" x14ac:dyDescent="0.35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2:26" ht="12.75" customHeight="1" x14ac:dyDescent="0.35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2:26" ht="12.75" customHeight="1" x14ac:dyDescent="0.35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2:26" ht="12.75" customHeight="1" x14ac:dyDescent="0.35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2:26" ht="12.75" customHeight="1" x14ac:dyDescent="0.35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2:26" ht="12.75" customHeight="1" x14ac:dyDescent="0.35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2:26" ht="12.75" customHeight="1" x14ac:dyDescent="0.35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2:26" ht="12.75" customHeight="1" x14ac:dyDescent="0.3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2:26" ht="12.75" customHeight="1" x14ac:dyDescent="0.35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2:26" ht="12.75" customHeight="1" x14ac:dyDescent="0.35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2:26" ht="12.75" customHeight="1" x14ac:dyDescent="0.35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2:26" ht="12.75" customHeight="1" x14ac:dyDescent="0.35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2:26" ht="12.75" customHeight="1" x14ac:dyDescent="0.35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2:26" ht="12.75" customHeight="1" x14ac:dyDescent="0.35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2:26" ht="12.75" customHeight="1" x14ac:dyDescent="0.35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2:26" ht="12.75" customHeight="1" x14ac:dyDescent="0.35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2:26" ht="12.75" customHeight="1" x14ac:dyDescent="0.35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2:26" ht="12.75" customHeight="1" x14ac:dyDescent="0.3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2:26" ht="12.75" customHeight="1" x14ac:dyDescent="0.35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2:26" ht="12.75" customHeight="1" x14ac:dyDescent="0.35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2:26" ht="12.75" customHeight="1" x14ac:dyDescent="0.35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2:26" ht="12.75" customHeight="1" x14ac:dyDescent="0.35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2:26" ht="12.75" customHeight="1" x14ac:dyDescent="0.35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2:26" ht="12.75" customHeight="1" x14ac:dyDescent="0.35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2:26" ht="12.75" customHeight="1" x14ac:dyDescent="0.35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2:26" ht="12.75" customHeight="1" x14ac:dyDescent="0.35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2:26" ht="12.75" customHeight="1" x14ac:dyDescent="0.35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2:26" ht="12.75" customHeight="1" x14ac:dyDescent="0.3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2:26" ht="12.75" customHeight="1" x14ac:dyDescent="0.35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2:26" ht="12.75" customHeight="1" x14ac:dyDescent="0.35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2:26" ht="12.75" customHeight="1" x14ac:dyDescent="0.35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2:26" ht="12.75" customHeight="1" x14ac:dyDescent="0.35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2:26" ht="12.75" customHeight="1" x14ac:dyDescent="0.35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2:26" ht="12.75" customHeight="1" x14ac:dyDescent="0.35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2:26" ht="12.75" customHeight="1" x14ac:dyDescent="0.35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2:26" ht="12.75" customHeight="1" x14ac:dyDescent="0.35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2:26" ht="12.75" customHeight="1" x14ac:dyDescent="0.35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2:26" ht="12.75" customHeight="1" x14ac:dyDescent="0.3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2:26" ht="12.75" customHeight="1" x14ac:dyDescent="0.35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2:26" ht="12.75" customHeight="1" x14ac:dyDescent="0.35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2:26" ht="12.75" customHeight="1" x14ac:dyDescent="0.35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2:26" ht="12.75" customHeight="1" x14ac:dyDescent="0.35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2:26" ht="12.75" customHeight="1" x14ac:dyDescent="0.35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2:26" ht="12.75" customHeight="1" x14ac:dyDescent="0.35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2:26" ht="12.75" customHeight="1" x14ac:dyDescent="0.35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2:26" ht="12.75" customHeight="1" x14ac:dyDescent="0.35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2:26" ht="12.75" customHeight="1" x14ac:dyDescent="0.35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2:26" ht="12.75" customHeight="1" x14ac:dyDescent="0.3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2:26" ht="12.75" customHeight="1" x14ac:dyDescent="0.35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2:26" ht="12.75" customHeight="1" x14ac:dyDescent="0.35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2:26" ht="12.75" customHeight="1" x14ac:dyDescent="0.35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2:26" ht="12.75" customHeight="1" x14ac:dyDescent="0.35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2:26" ht="12.75" customHeight="1" x14ac:dyDescent="0.35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2:26" ht="12.75" customHeight="1" x14ac:dyDescent="0.35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2:26" ht="12.75" customHeight="1" x14ac:dyDescent="0.35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2:26" ht="12.75" customHeight="1" x14ac:dyDescent="0.35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2:26" ht="12.75" customHeight="1" x14ac:dyDescent="0.35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2:26" ht="12.75" customHeight="1" x14ac:dyDescent="0.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2:26" ht="12.75" customHeight="1" x14ac:dyDescent="0.35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2:26" ht="12.75" customHeight="1" x14ac:dyDescent="0.35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2:26" ht="12.75" customHeight="1" x14ac:dyDescent="0.35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2:26" ht="12.75" customHeight="1" x14ac:dyDescent="0.35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2:26" ht="12.75" customHeight="1" x14ac:dyDescent="0.35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2:26" ht="12.75" customHeight="1" x14ac:dyDescent="0.35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2:26" ht="12.75" customHeight="1" x14ac:dyDescent="0.35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2:26" ht="12.75" customHeight="1" x14ac:dyDescent="0.35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2:26" ht="12.75" customHeight="1" x14ac:dyDescent="0.35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2:26" ht="12.75" customHeight="1" x14ac:dyDescent="0.3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2:26" ht="12.75" customHeight="1" x14ac:dyDescent="0.35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2:26" ht="12.75" customHeight="1" x14ac:dyDescent="0.35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2:26" ht="12.75" customHeight="1" x14ac:dyDescent="0.35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2:26" ht="12.75" customHeight="1" x14ac:dyDescent="0.35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2:26" ht="12.75" customHeight="1" x14ac:dyDescent="0.35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2:26" ht="12.75" customHeight="1" x14ac:dyDescent="0.35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2:26" ht="12.75" customHeight="1" x14ac:dyDescent="0.35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2:26" ht="12.75" customHeight="1" x14ac:dyDescent="0.35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2:26" ht="12.75" customHeight="1" x14ac:dyDescent="0.35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2:26" ht="12.75" customHeight="1" x14ac:dyDescent="0.3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2:26" ht="12.75" customHeight="1" x14ac:dyDescent="0.35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2:26" ht="12.75" customHeight="1" x14ac:dyDescent="0.35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2:26" ht="12.75" customHeight="1" x14ac:dyDescent="0.35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2:26" ht="12.75" customHeight="1" x14ac:dyDescent="0.35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2:26" ht="12.75" customHeight="1" x14ac:dyDescent="0.35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2:26" ht="12.75" customHeight="1" x14ac:dyDescent="0.35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2:26" ht="12.75" customHeight="1" x14ac:dyDescent="0.35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2:26" ht="12.75" customHeight="1" x14ac:dyDescent="0.35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2:26" ht="12.75" customHeight="1" x14ac:dyDescent="0.35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2:26" ht="12.75" customHeight="1" x14ac:dyDescent="0.3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2:26" ht="12.75" customHeight="1" x14ac:dyDescent="0.35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2:26" ht="12.75" customHeight="1" x14ac:dyDescent="0.35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2:26" ht="12.75" customHeight="1" x14ac:dyDescent="0.35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2:26" ht="12.75" customHeight="1" x14ac:dyDescent="0.35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2:26" ht="12.75" customHeight="1" x14ac:dyDescent="0.35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2:26" ht="12.75" customHeight="1" x14ac:dyDescent="0.35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2:26" ht="12.75" customHeight="1" x14ac:dyDescent="0.35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2:26" ht="12.75" customHeight="1" x14ac:dyDescent="0.35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2:26" ht="12.75" customHeight="1" x14ac:dyDescent="0.35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2:26" ht="12.75" customHeight="1" x14ac:dyDescent="0.3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2:26" ht="12.75" customHeight="1" x14ac:dyDescent="0.35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2:26" ht="12.75" customHeight="1" x14ac:dyDescent="0.35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2:26" ht="12.75" customHeight="1" x14ac:dyDescent="0.35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2:26" ht="12.75" customHeight="1" x14ac:dyDescent="0.35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2:26" ht="12.75" customHeight="1" x14ac:dyDescent="0.35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2:26" ht="12.75" customHeight="1" x14ac:dyDescent="0.35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2:26" ht="12.75" customHeight="1" x14ac:dyDescent="0.35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2:26" ht="12.75" customHeight="1" x14ac:dyDescent="0.35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2:26" ht="12.75" customHeight="1" x14ac:dyDescent="0.35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2:26" ht="12.75" customHeight="1" x14ac:dyDescent="0.3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2:26" ht="12.75" customHeight="1" x14ac:dyDescent="0.35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2:26" ht="12.75" customHeight="1" x14ac:dyDescent="0.35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2:26" ht="12.75" customHeight="1" x14ac:dyDescent="0.35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2:26" ht="12.75" customHeight="1" x14ac:dyDescent="0.35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2:26" ht="12.75" customHeight="1" x14ac:dyDescent="0.35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2:26" ht="12.75" customHeight="1" x14ac:dyDescent="0.35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2:26" ht="12.75" customHeight="1" x14ac:dyDescent="0.35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2:26" ht="12.75" customHeight="1" x14ac:dyDescent="0.35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2:26" ht="12.75" customHeight="1" x14ac:dyDescent="0.35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2:26" ht="12.75" customHeight="1" x14ac:dyDescent="0.3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2:26" ht="12.75" customHeight="1" x14ac:dyDescent="0.35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2:26" ht="12.75" customHeight="1" x14ac:dyDescent="0.35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2:26" ht="12.75" customHeight="1" x14ac:dyDescent="0.35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2:26" ht="12.75" customHeight="1" x14ac:dyDescent="0.35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2:26" ht="12.75" customHeight="1" x14ac:dyDescent="0.35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2:26" ht="12.75" customHeight="1" x14ac:dyDescent="0.35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2:26" ht="12.75" customHeight="1" x14ac:dyDescent="0.35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2:26" ht="12.75" customHeight="1" x14ac:dyDescent="0.35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2:26" ht="12.75" customHeight="1" x14ac:dyDescent="0.35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2:26" ht="12.75" customHeight="1" x14ac:dyDescent="0.3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2:26" ht="12.75" customHeight="1" x14ac:dyDescent="0.35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2:26" ht="12.75" customHeight="1" x14ac:dyDescent="0.35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2:26" ht="12.75" customHeight="1" x14ac:dyDescent="0.35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2:26" ht="12.75" customHeight="1" x14ac:dyDescent="0.35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2:26" ht="12.75" customHeight="1" x14ac:dyDescent="0.35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2:26" ht="12.75" customHeight="1" x14ac:dyDescent="0.35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2:26" ht="12.75" customHeight="1" x14ac:dyDescent="0.35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2:26" ht="12.75" customHeight="1" x14ac:dyDescent="0.35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2:26" ht="12.75" customHeight="1" x14ac:dyDescent="0.35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2:26" ht="12.75" customHeight="1" x14ac:dyDescent="0.3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2:26" ht="12.75" customHeight="1" x14ac:dyDescent="0.35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2:26" ht="12.75" customHeight="1" x14ac:dyDescent="0.35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2:26" ht="12.75" customHeight="1" x14ac:dyDescent="0.35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2:26" ht="12.75" customHeight="1" x14ac:dyDescent="0.35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2:26" ht="12.75" customHeight="1" x14ac:dyDescent="0.35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2:26" ht="12.75" customHeight="1" x14ac:dyDescent="0.35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2:26" ht="12.75" customHeight="1" x14ac:dyDescent="0.35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2:26" ht="12.75" customHeight="1" x14ac:dyDescent="0.35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2:26" ht="12.75" customHeight="1" x14ac:dyDescent="0.35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2:26" ht="12.75" customHeight="1" x14ac:dyDescent="0.3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2:26" ht="12.75" customHeight="1" x14ac:dyDescent="0.35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2:26" ht="12.75" customHeight="1" x14ac:dyDescent="0.35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2:26" ht="12.75" customHeight="1" x14ac:dyDescent="0.35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2:26" ht="12.75" customHeight="1" x14ac:dyDescent="0.35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2:26" ht="12.75" customHeight="1" x14ac:dyDescent="0.35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2:26" ht="12.75" customHeight="1" x14ac:dyDescent="0.35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2:26" ht="12.75" customHeight="1" x14ac:dyDescent="0.35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2:26" ht="12.75" customHeight="1" x14ac:dyDescent="0.35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2:26" ht="12.75" customHeight="1" x14ac:dyDescent="0.35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2:26" ht="12.75" customHeight="1" x14ac:dyDescent="0.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2:26" ht="12.75" customHeight="1" x14ac:dyDescent="0.35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2:26" ht="12.75" customHeight="1" x14ac:dyDescent="0.35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2:26" ht="12.75" customHeight="1" x14ac:dyDescent="0.35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2:26" ht="12.75" customHeight="1" x14ac:dyDescent="0.35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2:26" ht="12.75" customHeight="1" x14ac:dyDescent="0.35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2:26" ht="12.75" customHeight="1" x14ac:dyDescent="0.35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2:26" ht="12.75" customHeight="1" x14ac:dyDescent="0.35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2:26" ht="12.75" customHeight="1" x14ac:dyDescent="0.35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2:26" ht="12.75" customHeight="1" x14ac:dyDescent="0.35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2:26" ht="12.75" customHeight="1" x14ac:dyDescent="0.3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2:26" ht="12.75" customHeight="1" x14ac:dyDescent="0.35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2:26" ht="12.75" customHeight="1" x14ac:dyDescent="0.35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2:26" ht="12.75" customHeight="1" x14ac:dyDescent="0.35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2:26" ht="12.75" customHeight="1" x14ac:dyDescent="0.35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2:26" ht="12.75" customHeight="1" x14ac:dyDescent="0.35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2:26" ht="12.75" customHeight="1" x14ac:dyDescent="0.35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2:26" ht="12.75" customHeight="1" x14ac:dyDescent="0.35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2:26" ht="12.75" customHeight="1" x14ac:dyDescent="0.35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2:26" ht="12.75" customHeight="1" x14ac:dyDescent="0.35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2:26" ht="12.75" customHeight="1" x14ac:dyDescent="0.3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2:26" ht="12.75" customHeight="1" x14ac:dyDescent="0.35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2:26" ht="12.75" customHeight="1" x14ac:dyDescent="0.35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2:26" ht="12.75" customHeight="1" x14ac:dyDescent="0.35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2:26" ht="12.75" customHeight="1" x14ac:dyDescent="0.35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2:26" ht="12.75" customHeight="1" x14ac:dyDescent="0.35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2:26" ht="12.75" customHeight="1" x14ac:dyDescent="0.35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2:26" ht="12.75" customHeight="1" x14ac:dyDescent="0.35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2:26" ht="12.75" customHeight="1" x14ac:dyDescent="0.35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2:26" ht="12.75" customHeight="1" x14ac:dyDescent="0.35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2:26" ht="12.75" customHeight="1" x14ac:dyDescent="0.3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2:26" ht="12.75" customHeight="1" x14ac:dyDescent="0.35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2:26" ht="12.75" customHeight="1" x14ac:dyDescent="0.35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2:26" ht="12.75" customHeight="1" x14ac:dyDescent="0.35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2:26" ht="12.75" customHeight="1" x14ac:dyDescent="0.35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2:26" ht="12.75" customHeight="1" x14ac:dyDescent="0.35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2:26" ht="12.75" customHeight="1" x14ac:dyDescent="0.35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2:26" ht="12.75" customHeight="1" x14ac:dyDescent="0.35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2:26" ht="12.75" customHeight="1" x14ac:dyDescent="0.35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2:26" ht="12.75" customHeight="1" x14ac:dyDescent="0.35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2:26" ht="12.75" customHeight="1" x14ac:dyDescent="0.3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2:26" ht="12.75" customHeight="1" x14ac:dyDescent="0.35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2:26" ht="12.75" customHeight="1" x14ac:dyDescent="0.35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2:26" ht="12.75" customHeight="1" x14ac:dyDescent="0.35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2:26" ht="12.75" customHeight="1" x14ac:dyDescent="0.35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2:26" ht="12.75" customHeight="1" x14ac:dyDescent="0.35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2:26" ht="12.75" customHeight="1" x14ac:dyDescent="0.35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2:26" ht="12.75" customHeight="1" x14ac:dyDescent="0.35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2:26" ht="12.75" customHeight="1" x14ac:dyDescent="0.35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2:26" ht="12.75" customHeight="1" x14ac:dyDescent="0.35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2:26" ht="12.75" customHeight="1" x14ac:dyDescent="0.3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2:26" ht="12.75" customHeight="1" x14ac:dyDescent="0.35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2:26" ht="12.75" customHeight="1" x14ac:dyDescent="0.35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2:26" ht="12.75" customHeight="1" x14ac:dyDescent="0.35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2:26" ht="12.75" customHeight="1" x14ac:dyDescent="0.35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2:26" ht="12.75" customHeight="1" x14ac:dyDescent="0.35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2:26" ht="12.75" customHeight="1" x14ac:dyDescent="0.35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2:26" ht="12.75" customHeight="1" x14ac:dyDescent="0.35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2:26" ht="12.75" customHeight="1" x14ac:dyDescent="0.35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2:26" ht="12.75" customHeight="1" x14ac:dyDescent="0.35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2:26" ht="12.75" customHeight="1" x14ac:dyDescent="0.3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2:26" ht="12.75" customHeight="1" x14ac:dyDescent="0.35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2:26" ht="12.75" customHeight="1" x14ac:dyDescent="0.35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2:26" ht="12.75" customHeight="1" x14ac:dyDescent="0.35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2:26" ht="12.75" customHeight="1" x14ac:dyDescent="0.35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2:26" ht="12.75" customHeight="1" x14ac:dyDescent="0.35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2:26" ht="12.75" customHeight="1" x14ac:dyDescent="0.35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2:26" ht="12.75" customHeight="1" x14ac:dyDescent="0.35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2:26" ht="12.75" customHeight="1" x14ac:dyDescent="0.35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2:26" ht="12.75" customHeight="1" x14ac:dyDescent="0.35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2:26" ht="12.75" customHeight="1" x14ac:dyDescent="0.3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2:26" ht="12.75" customHeight="1" x14ac:dyDescent="0.35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2:26" ht="12.75" customHeight="1" x14ac:dyDescent="0.35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2:26" ht="12.75" customHeight="1" x14ac:dyDescent="0.35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2:26" ht="12.75" customHeight="1" x14ac:dyDescent="0.35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2:26" ht="12.75" customHeight="1" x14ac:dyDescent="0.35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2:26" ht="12.75" customHeight="1" x14ac:dyDescent="0.35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2:26" ht="12.75" customHeight="1" x14ac:dyDescent="0.35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2:26" ht="12.75" customHeight="1" x14ac:dyDescent="0.35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2:26" ht="12.75" customHeight="1" x14ac:dyDescent="0.35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2:26" ht="12.75" customHeight="1" x14ac:dyDescent="0.3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2:26" ht="12.75" customHeight="1" x14ac:dyDescent="0.35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2:26" ht="12.75" customHeight="1" x14ac:dyDescent="0.35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2:26" ht="12.75" customHeight="1" x14ac:dyDescent="0.35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2:26" ht="12.75" customHeight="1" x14ac:dyDescent="0.35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2:26" ht="12.75" customHeight="1" x14ac:dyDescent="0.35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2:26" ht="12.75" customHeight="1" x14ac:dyDescent="0.35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2:26" ht="12.75" customHeight="1" x14ac:dyDescent="0.35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2:26" ht="12.75" customHeight="1" x14ac:dyDescent="0.35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2:26" ht="12.75" customHeight="1" x14ac:dyDescent="0.35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2:26" ht="12.75" customHeight="1" x14ac:dyDescent="0.3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2:26" ht="12.75" customHeight="1" x14ac:dyDescent="0.35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2:26" ht="12.75" customHeight="1" x14ac:dyDescent="0.35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2:26" ht="12.75" customHeight="1" x14ac:dyDescent="0.35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2:26" ht="12.75" customHeight="1" x14ac:dyDescent="0.35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2:26" ht="12.75" customHeight="1" x14ac:dyDescent="0.35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2:26" ht="12.75" customHeight="1" x14ac:dyDescent="0.35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2:26" ht="12.75" customHeight="1" x14ac:dyDescent="0.35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2:26" ht="12.75" customHeight="1" x14ac:dyDescent="0.35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2:26" ht="12.75" customHeight="1" x14ac:dyDescent="0.35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2:26" ht="12.75" customHeight="1" x14ac:dyDescent="0.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2:26" ht="12.75" customHeight="1" x14ac:dyDescent="0.35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2:26" ht="12.75" customHeight="1" x14ac:dyDescent="0.35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2:26" ht="12.75" customHeight="1" x14ac:dyDescent="0.35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2:26" ht="12.75" customHeight="1" x14ac:dyDescent="0.35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2:26" ht="12.75" customHeight="1" x14ac:dyDescent="0.35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2:26" ht="12.75" customHeight="1" x14ac:dyDescent="0.35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2:26" ht="12.75" customHeight="1" x14ac:dyDescent="0.35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2:26" ht="12.75" customHeight="1" x14ac:dyDescent="0.35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2:26" ht="12.75" customHeight="1" x14ac:dyDescent="0.35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2:26" ht="12.75" customHeight="1" x14ac:dyDescent="0.3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2:26" ht="12.75" customHeight="1" x14ac:dyDescent="0.35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2:26" ht="12.75" customHeight="1" x14ac:dyDescent="0.35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2:26" ht="12.75" customHeight="1" x14ac:dyDescent="0.35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2:26" ht="12.75" customHeight="1" x14ac:dyDescent="0.35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2:26" ht="12.75" customHeight="1" x14ac:dyDescent="0.35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2:26" ht="12.75" customHeight="1" x14ac:dyDescent="0.35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2:26" ht="12.75" customHeight="1" x14ac:dyDescent="0.35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2:26" ht="12.75" customHeight="1" x14ac:dyDescent="0.35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2:26" ht="12.75" customHeight="1" x14ac:dyDescent="0.35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2:26" ht="12.75" customHeight="1" x14ac:dyDescent="0.3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2:26" ht="12.75" customHeight="1" x14ac:dyDescent="0.35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2:26" ht="12.75" customHeight="1" x14ac:dyDescent="0.35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2:26" ht="12.75" customHeight="1" x14ac:dyDescent="0.35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2:26" ht="12.75" customHeight="1" x14ac:dyDescent="0.35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2:26" ht="12.75" customHeight="1" x14ac:dyDescent="0.35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2:26" ht="12.75" customHeight="1" x14ac:dyDescent="0.35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2:26" ht="12.75" customHeight="1" x14ac:dyDescent="0.35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2:26" ht="12.75" customHeight="1" x14ac:dyDescent="0.35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2:26" ht="12.75" customHeight="1" x14ac:dyDescent="0.35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2:26" ht="12.75" customHeight="1" x14ac:dyDescent="0.3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2:26" ht="12.75" customHeight="1" x14ac:dyDescent="0.35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2:26" ht="12.75" customHeight="1" x14ac:dyDescent="0.35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2:26" ht="12.75" customHeight="1" x14ac:dyDescent="0.35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2:26" ht="12.75" customHeight="1" x14ac:dyDescent="0.35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2:26" ht="12.75" customHeight="1" x14ac:dyDescent="0.35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2:26" ht="12.75" customHeight="1" x14ac:dyDescent="0.35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2:26" ht="12.75" customHeight="1" x14ac:dyDescent="0.35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2:26" ht="12.75" customHeight="1" x14ac:dyDescent="0.35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2:26" ht="12.75" customHeight="1" x14ac:dyDescent="0.35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2:26" ht="12.75" customHeight="1" x14ac:dyDescent="0.3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2:26" ht="12.75" customHeight="1" x14ac:dyDescent="0.35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2:26" ht="12.75" customHeight="1" x14ac:dyDescent="0.35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2:26" ht="12.75" customHeight="1" x14ac:dyDescent="0.35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2:26" ht="12.75" customHeight="1" x14ac:dyDescent="0.35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2:26" ht="12.75" customHeight="1" x14ac:dyDescent="0.35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2:26" ht="12.75" customHeight="1" x14ac:dyDescent="0.35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2:26" ht="12.75" customHeight="1" x14ac:dyDescent="0.35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2:26" ht="12.75" customHeight="1" x14ac:dyDescent="0.35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2:26" ht="12.75" customHeight="1" x14ac:dyDescent="0.35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2:26" ht="12.75" customHeight="1" x14ac:dyDescent="0.3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2:26" ht="12.75" customHeight="1" x14ac:dyDescent="0.35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2:26" ht="12.75" customHeight="1" x14ac:dyDescent="0.35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2:26" ht="12.75" customHeight="1" x14ac:dyDescent="0.35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2:26" ht="12.75" customHeight="1" x14ac:dyDescent="0.35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2:26" ht="12.75" customHeight="1" x14ac:dyDescent="0.35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2:26" ht="12.75" customHeight="1" x14ac:dyDescent="0.35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2:26" ht="12.75" customHeight="1" x14ac:dyDescent="0.35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2:26" ht="12.75" customHeight="1" x14ac:dyDescent="0.35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2:26" ht="12.75" customHeight="1" x14ac:dyDescent="0.35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2:26" ht="12.75" customHeight="1" x14ac:dyDescent="0.3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2:26" ht="12.75" customHeight="1" x14ac:dyDescent="0.35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2:26" ht="12.75" customHeight="1" x14ac:dyDescent="0.35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2:26" ht="12.75" customHeight="1" x14ac:dyDescent="0.35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2:26" ht="12.75" customHeight="1" x14ac:dyDescent="0.35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2:26" ht="12.75" customHeight="1" x14ac:dyDescent="0.35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2:26" ht="12.75" customHeight="1" x14ac:dyDescent="0.35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2:26" ht="12.75" customHeight="1" x14ac:dyDescent="0.35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2:26" ht="12.75" customHeight="1" x14ac:dyDescent="0.35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2:26" ht="12.75" customHeight="1" x14ac:dyDescent="0.35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2:26" ht="12.75" customHeight="1" x14ac:dyDescent="0.3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2:26" ht="12.75" customHeight="1" x14ac:dyDescent="0.35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2:26" ht="12.75" customHeight="1" x14ac:dyDescent="0.35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2:26" ht="12.75" customHeight="1" x14ac:dyDescent="0.35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2:26" ht="12.75" customHeight="1" x14ac:dyDescent="0.35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2:26" ht="12.75" customHeight="1" x14ac:dyDescent="0.35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2:26" ht="12.75" customHeight="1" x14ac:dyDescent="0.35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2:26" ht="12.75" customHeight="1" x14ac:dyDescent="0.35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2:26" ht="12.75" customHeight="1" x14ac:dyDescent="0.35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2:26" ht="12.75" customHeight="1" x14ac:dyDescent="0.35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2:26" ht="12.75" customHeight="1" x14ac:dyDescent="0.3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2:26" ht="12.75" customHeight="1" x14ac:dyDescent="0.35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2:26" ht="12.75" customHeight="1" x14ac:dyDescent="0.35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2:26" ht="12.75" customHeight="1" x14ac:dyDescent="0.35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2:26" ht="12.75" customHeight="1" x14ac:dyDescent="0.35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2:26" ht="12.75" customHeight="1" x14ac:dyDescent="0.35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2:26" ht="12.75" customHeight="1" x14ac:dyDescent="0.35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2:26" ht="12.75" customHeight="1" x14ac:dyDescent="0.35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2:26" ht="12.75" customHeight="1" x14ac:dyDescent="0.35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2:26" ht="12.75" customHeight="1" x14ac:dyDescent="0.35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2:26" ht="12.75" customHeight="1" x14ac:dyDescent="0.3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2:26" ht="12.75" customHeight="1" x14ac:dyDescent="0.35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2:26" ht="12.75" customHeight="1" x14ac:dyDescent="0.35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2:26" ht="12.75" customHeight="1" x14ac:dyDescent="0.35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2:26" ht="12.75" customHeight="1" x14ac:dyDescent="0.35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2:26" ht="12.75" customHeight="1" x14ac:dyDescent="0.35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2:26" ht="12.75" customHeight="1" x14ac:dyDescent="0.35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2:26" ht="12.75" customHeight="1" x14ac:dyDescent="0.35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2:26" ht="12.75" customHeight="1" x14ac:dyDescent="0.35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2:26" ht="12.75" customHeight="1" x14ac:dyDescent="0.35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2:26" ht="12.75" customHeight="1" x14ac:dyDescent="0.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2:26" ht="12.75" customHeight="1" x14ac:dyDescent="0.35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2:26" ht="12.75" customHeight="1" x14ac:dyDescent="0.35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2:26" ht="12.75" customHeight="1" x14ac:dyDescent="0.35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2:26" ht="12.75" customHeight="1" x14ac:dyDescent="0.35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2:26" ht="12.75" customHeight="1" x14ac:dyDescent="0.35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2:26" ht="12.75" customHeight="1" x14ac:dyDescent="0.35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2:26" ht="12.75" customHeight="1" x14ac:dyDescent="0.35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2:26" ht="12.75" customHeight="1" x14ac:dyDescent="0.35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2:26" ht="12.75" customHeight="1" x14ac:dyDescent="0.35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2:26" ht="12.75" customHeight="1" x14ac:dyDescent="0.3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2:26" ht="12.75" customHeight="1" x14ac:dyDescent="0.35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2:26" ht="12.75" customHeight="1" x14ac:dyDescent="0.35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2:26" ht="12.75" customHeight="1" x14ac:dyDescent="0.35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2:26" ht="12.75" customHeight="1" x14ac:dyDescent="0.35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2:26" ht="12.75" customHeight="1" x14ac:dyDescent="0.35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2:26" ht="12.75" customHeight="1" x14ac:dyDescent="0.35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2:26" ht="12.75" customHeight="1" x14ac:dyDescent="0.35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2:26" ht="12.75" customHeight="1" x14ac:dyDescent="0.35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2:26" ht="12.75" customHeight="1" x14ac:dyDescent="0.35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2:26" ht="12.75" customHeight="1" x14ac:dyDescent="0.3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2:26" ht="12.75" customHeight="1" x14ac:dyDescent="0.35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2:26" ht="12.75" customHeight="1" x14ac:dyDescent="0.35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2:26" ht="12.75" customHeight="1" x14ac:dyDescent="0.35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2:26" ht="12.75" customHeight="1" x14ac:dyDescent="0.35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2:26" ht="12.75" customHeight="1" x14ac:dyDescent="0.35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2:26" ht="12.75" customHeight="1" x14ac:dyDescent="0.35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2:26" ht="12.75" customHeight="1" x14ac:dyDescent="0.35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2:26" ht="12.75" customHeight="1" x14ac:dyDescent="0.35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2:26" ht="12.75" customHeight="1" x14ac:dyDescent="0.35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2:26" ht="12.75" customHeight="1" x14ac:dyDescent="0.3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2:26" ht="12.75" customHeight="1" x14ac:dyDescent="0.35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2:26" ht="12.75" customHeight="1" x14ac:dyDescent="0.35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2:26" ht="12.75" customHeight="1" x14ac:dyDescent="0.35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2:26" ht="12.75" customHeight="1" x14ac:dyDescent="0.35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2:26" ht="12.75" customHeight="1" x14ac:dyDescent="0.35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2:26" ht="12.75" customHeight="1" x14ac:dyDescent="0.35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2:26" ht="12.75" customHeight="1" x14ac:dyDescent="0.35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2:26" ht="12.75" customHeight="1" x14ac:dyDescent="0.35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2:26" ht="12.75" customHeight="1" x14ac:dyDescent="0.35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2:26" ht="12.75" customHeight="1" x14ac:dyDescent="0.3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2:26" ht="12.75" customHeight="1" x14ac:dyDescent="0.35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2:26" ht="12.75" customHeight="1" x14ac:dyDescent="0.35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2:26" ht="12.75" customHeight="1" x14ac:dyDescent="0.35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2:26" ht="12.75" customHeight="1" x14ac:dyDescent="0.35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2:26" ht="12.75" customHeight="1" x14ac:dyDescent="0.35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2:26" ht="12.75" customHeight="1" x14ac:dyDescent="0.35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2:26" ht="12.75" customHeight="1" x14ac:dyDescent="0.35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2:26" ht="12.75" customHeight="1" x14ac:dyDescent="0.35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2:26" ht="12.75" customHeight="1" x14ac:dyDescent="0.35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2:26" ht="12.75" customHeight="1" x14ac:dyDescent="0.3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2:26" ht="12.75" customHeight="1" x14ac:dyDescent="0.35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2:26" ht="12.75" customHeight="1" x14ac:dyDescent="0.35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2:26" ht="12.75" customHeight="1" x14ac:dyDescent="0.35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2:26" ht="12.75" customHeight="1" x14ac:dyDescent="0.35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2:26" ht="12.75" customHeight="1" x14ac:dyDescent="0.35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2:26" ht="12.75" customHeight="1" x14ac:dyDescent="0.35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2:26" ht="12.75" customHeight="1" x14ac:dyDescent="0.35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2:26" ht="12.75" customHeight="1" x14ac:dyDescent="0.35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2:26" ht="12.75" customHeight="1" x14ac:dyDescent="0.35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2:26" ht="12.75" customHeight="1" x14ac:dyDescent="0.3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2:26" ht="12.75" customHeight="1" x14ac:dyDescent="0.35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2:26" ht="12.75" customHeight="1" x14ac:dyDescent="0.35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2:26" ht="12.75" customHeight="1" x14ac:dyDescent="0.35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2:26" ht="12.75" customHeight="1" x14ac:dyDescent="0.35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2:26" ht="12.75" customHeight="1" x14ac:dyDescent="0.35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2:26" ht="12.75" customHeight="1" x14ac:dyDescent="0.35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2:26" ht="12.75" customHeight="1" x14ac:dyDescent="0.35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2:26" ht="12.75" customHeight="1" x14ac:dyDescent="0.35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2:26" ht="12.75" customHeight="1" x14ac:dyDescent="0.35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2:26" ht="12.75" customHeight="1" x14ac:dyDescent="0.3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2:26" ht="12.75" customHeight="1" x14ac:dyDescent="0.35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2:26" ht="12.75" customHeight="1" x14ac:dyDescent="0.35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2:26" ht="12.75" customHeight="1" x14ac:dyDescent="0.35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2:26" ht="12.75" customHeight="1" x14ac:dyDescent="0.35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2:26" ht="12.75" customHeight="1" x14ac:dyDescent="0.35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2:26" ht="12.75" customHeight="1" x14ac:dyDescent="0.35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2:26" ht="12.75" customHeight="1" x14ac:dyDescent="0.35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2:26" ht="12.75" customHeight="1" x14ac:dyDescent="0.35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2:26" ht="12.75" customHeight="1" x14ac:dyDescent="0.35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2:26" ht="12.75" customHeight="1" x14ac:dyDescent="0.3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2:26" ht="12.75" customHeight="1" x14ac:dyDescent="0.35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2:26" ht="12.75" customHeight="1" x14ac:dyDescent="0.35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2:26" ht="12.75" customHeight="1" x14ac:dyDescent="0.35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2:26" ht="12.75" customHeight="1" x14ac:dyDescent="0.35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2:26" ht="12.75" customHeight="1" x14ac:dyDescent="0.35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2:26" ht="12.75" customHeight="1" x14ac:dyDescent="0.35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2:26" ht="12.75" customHeight="1" x14ac:dyDescent="0.35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2:26" ht="12.75" customHeight="1" x14ac:dyDescent="0.35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2:26" ht="12.75" customHeight="1" x14ac:dyDescent="0.35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2:26" ht="12.75" customHeight="1" x14ac:dyDescent="0.3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2:26" ht="12.75" customHeight="1" x14ac:dyDescent="0.35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2:26" ht="12.75" customHeight="1" x14ac:dyDescent="0.35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2:26" ht="12.75" customHeight="1" x14ac:dyDescent="0.35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2:26" ht="12.75" customHeight="1" x14ac:dyDescent="0.35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2:26" ht="12.75" customHeight="1" x14ac:dyDescent="0.35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2:26" ht="12.75" customHeight="1" x14ac:dyDescent="0.35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2:26" ht="12.75" customHeight="1" x14ac:dyDescent="0.35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2:26" ht="12.75" customHeight="1" x14ac:dyDescent="0.35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2:26" ht="12.75" customHeight="1" x14ac:dyDescent="0.35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2:26" ht="12.75" customHeight="1" x14ac:dyDescent="0.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2:26" ht="12.75" customHeight="1" x14ac:dyDescent="0.35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2:26" ht="12.75" customHeight="1" x14ac:dyDescent="0.35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2:26" ht="12.75" customHeight="1" x14ac:dyDescent="0.35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2:26" ht="12.75" customHeight="1" x14ac:dyDescent="0.35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2:26" ht="12.75" customHeight="1" x14ac:dyDescent="0.35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2:26" ht="12.75" customHeight="1" x14ac:dyDescent="0.35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2:26" ht="12.75" customHeight="1" x14ac:dyDescent="0.35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2:26" ht="12.75" customHeight="1" x14ac:dyDescent="0.35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2:26" ht="12.75" customHeight="1" x14ac:dyDescent="0.35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2:26" ht="12.75" customHeight="1" x14ac:dyDescent="0.3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2:26" ht="12.75" customHeight="1" x14ac:dyDescent="0.35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2:26" ht="12.75" customHeight="1" x14ac:dyDescent="0.35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2:26" ht="12.75" customHeight="1" x14ac:dyDescent="0.35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2:26" ht="12.75" customHeight="1" x14ac:dyDescent="0.35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2:26" ht="12.75" customHeight="1" x14ac:dyDescent="0.35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2:26" ht="12.75" customHeight="1" x14ac:dyDescent="0.35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2:26" ht="12.75" customHeight="1" x14ac:dyDescent="0.35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2:26" ht="12.75" customHeight="1" x14ac:dyDescent="0.35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2:26" ht="12.75" customHeight="1" x14ac:dyDescent="0.35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2:26" ht="12.75" customHeight="1" x14ac:dyDescent="0.3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2:26" ht="12.75" customHeight="1" x14ac:dyDescent="0.35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2:26" ht="12.75" customHeight="1" x14ac:dyDescent="0.35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2:26" ht="12.75" customHeight="1" x14ac:dyDescent="0.35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2:26" ht="12.75" customHeight="1" x14ac:dyDescent="0.35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2:26" ht="12.75" customHeight="1" x14ac:dyDescent="0.35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2:26" ht="12.75" customHeight="1" x14ac:dyDescent="0.35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2:26" ht="12.75" customHeight="1" x14ac:dyDescent="0.35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2:26" ht="12.75" customHeight="1" x14ac:dyDescent="0.35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2:26" ht="12.75" customHeight="1" x14ac:dyDescent="0.35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2:26" ht="12.75" customHeight="1" x14ac:dyDescent="0.3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2:26" ht="12.75" customHeight="1" x14ac:dyDescent="0.35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2:26" ht="12.75" customHeight="1" x14ac:dyDescent="0.35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2:26" ht="12.75" customHeight="1" x14ac:dyDescent="0.35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2:26" ht="12.75" customHeight="1" x14ac:dyDescent="0.35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2:26" ht="12.75" customHeight="1" x14ac:dyDescent="0.35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2:26" ht="12.75" customHeight="1" x14ac:dyDescent="0.35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2:26" ht="12.75" customHeight="1" x14ac:dyDescent="0.35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2:26" ht="12.75" customHeight="1" x14ac:dyDescent="0.35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2:26" ht="12.75" customHeight="1" x14ac:dyDescent="0.35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2:26" ht="12.75" customHeight="1" x14ac:dyDescent="0.3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2:26" ht="12.75" customHeight="1" x14ac:dyDescent="0.35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2:26" ht="12.75" customHeight="1" x14ac:dyDescent="0.35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2:26" ht="12.75" customHeight="1" x14ac:dyDescent="0.35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2:26" ht="12.75" customHeight="1" x14ac:dyDescent="0.35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2:26" ht="12.75" customHeight="1" x14ac:dyDescent="0.35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2:26" ht="12.75" customHeight="1" x14ac:dyDescent="0.35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2:26" ht="12.75" customHeight="1" x14ac:dyDescent="0.35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2:26" ht="12.75" customHeight="1" x14ac:dyDescent="0.35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2:26" ht="12.75" customHeight="1" x14ac:dyDescent="0.35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2:26" ht="12.75" customHeight="1" x14ac:dyDescent="0.3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2:26" ht="12.75" customHeight="1" x14ac:dyDescent="0.35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2:26" ht="12.75" customHeight="1" x14ac:dyDescent="0.35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2:26" ht="12.75" customHeight="1" x14ac:dyDescent="0.35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2:26" ht="12.75" customHeight="1" x14ac:dyDescent="0.35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2:26" ht="12.75" customHeight="1" x14ac:dyDescent="0.35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2:26" ht="12.75" customHeight="1" x14ac:dyDescent="0.35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2:26" ht="12.75" customHeight="1" x14ac:dyDescent="0.35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2:26" ht="12.75" customHeight="1" x14ac:dyDescent="0.35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2:26" ht="12.75" customHeight="1" x14ac:dyDescent="0.35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2:26" ht="12.75" customHeight="1" x14ac:dyDescent="0.3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2:26" ht="12.75" customHeight="1" x14ac:dyDescent="0.35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2:26" ht="12.75" customHeight="1" x14ac:dyDescent="0.35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2:26" ht="12.75" customHeight="1" x14ac:dyDescent="0.35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2:26" ht="12.75" customHeight="1" x14ac:dyDescent="0.35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2:26" ht="12.75" customHeight="1" x14ac:dyDescent="0.35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2:26" ht="12.75" customHeight="1" x14ac:dyDescent="0.35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2:26" ht="12.75" customHeight="1" x14ac:dyDescent="0.35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2:26" ht="12.75" customHeight="1" x14ac:dyDescent="0.35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2:26" ht="12.75" customHeight="1" x14ac:dyDescent="0.35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2:26" ht="12.75" customHeight="1" x14ac:dyDescent="0.3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2:26" ht="12.75" customHeight="1" x14ac:dyDescent="0.35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2:26" ht="12.75" customHeight="1" x14ac:dyDescent="0.35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2:26" ht="12.75" customHeight="1" x14ac:dyDescent="0.35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2:26" ht="12.75" customHeight="1" x14ac:dyDescent="0.35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2:26" ht="12.75" customHeight="1" x14ac:dyDescent="0.35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2:26" ht="12.75" customHeight="1" x14ac:dyDescent="0.35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2:26" ht="12.75" customHeight="1" x14ac:dyDescent="0.35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2:26" ht="12.75" customHeight="1" x14ac:dyDescent="0.35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2:26" ht="12.75" customHeight="1" x14ac:dyDescent="0.35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2:26" ht="12.75" customHeight="1" x14ac:dyDescent="0.3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2:26" ht="12.75" customHeight="1" x14ac:dyDescent="0.35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2:26" ht="12.75" customHeight="1" x14ac:dyDescent="0.35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2:26" ht="12.75" customHeight="1" x14ac:dyDescent="0.35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2:26" ht="12.75" customHeight="1" x14ac:dyDescent="0.35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2:26" ht="12.75" customHeight="1" x14ac:dyDescent="0.35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2:26" ht="12.75" customHeight="1" x14ac:dyDescent="0.35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2:26" ht="12.75" customHeight="1" x14ac:dyDescent="0.35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2:26" ht="12.75" customHeight="1" x14ac:dyDescent="0.35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2:26" ht="12.75" customHeight="1" x14ac:dyDescent="0.35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2:26" ht="12.75" customHeight="1" x14ac:dyDescent="0.3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2:26" ht="12.75" customHeight="1" x14ac:dyDescent="0.35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2:26" ht="12.75" customHeight="1" x14ac:dyDescent="0.35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2:26" ht="12.75" customHeight="1" x14ac:dyDescent="0.35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2:26" ht="12.75" customHeight="1" x14ac:dyDescent="0.35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2:26" ht="12.75" customHeight="1" x14ac:dyDescent="0.35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2:26" ht="12.75" customHeight="1" x14ac:dyDescent="0.35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2:26" ht="12.75" customHeight="1" x14ac:dyDescent="0.35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2:26" ht="12.75" customHeight="1" x14ac:dyDescent="0.35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2:26" ht="12.75" customHeight="1" x14ac:dyDescent="0.35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2:26" ht="12.75" customHeight="1" x14ac:dyDescent="0.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2:26" ht="12.75" customHeight="1" x14ac:dyDescent="0.35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2:26" ht="12.75" customHeight="1" x14ac:dyDescent="0.35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2:26" ht="12.75" customHeight="1" x14ac:dyDescent="0.35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2:26" ht="12.75" customHeight="1" x14ac:dyDescent="0.35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2:26" ht="12.75" customHeight="1" x14ac:dyDescent="0.35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2:26" ht="12.75" customHeight="1" x14ac:dyDescent="0.35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2:26" ht="12.75" customHeight="1" x14ac:dyDescent="0.35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2:26" ht="12.75" customHeight="1" x14ac:dyDescent="0.35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2:26" ht="12.75" customHeight="1" x14ac:dyDescent="0.35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2:26" ht="12.75" customHeight="1" x14ac:dyDescent="0.3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2:26" ht="12.75" customHeight="1" x14ac:dyDescent="0.35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2:26" ht="12.75" customHeight="1" x14ac:dyDescent="0.35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2:26" ht="12.75" customHeight="1" x14ac:dyDescent="0.35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2:26" ht="12.75" customHeight="1" x14ac:dyDescent="0.35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2:26" ht="12.75" customHeight="1" x14ac:dyDescent="0.35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2:26" ht="12.75" customHeight="1" x14ac:dyDescent="0.35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2:26" ht="12.75" customHeight="1" x14ac:dyDescent="0.35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2:26" ht="12.75" customHeight="1" x14ac:dyDescent="0.35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2:26" ht="12.75" customHeight="1" x14ac:dyDescent="0.35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2:26" ht="12.75" customHeight="1" x14ac:dyDescent="0.3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2:26" ht="12.75" customHeight="1" x14ac:dyDescent="0.35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2:26" ht="12.75" customHeight="1" x14ac:dyDescent="0.35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2:26" ht="12.75" customHeight="1" x14ac:dyDescent="0.35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2:26" ht="12.75" customHeight="1" x14ac:dyDescent="0.35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2:26" ht="12.75" customHeight="1" x14ac:dyDescent="0.35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2:26" ht="12.75" customHeight="1" x14ac:dyDescent="0.35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2:26" ht="12.75" customHeight="1" x14ac:dyDescent="0.35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2:26" ht="12.75" customHeight="1" x14ac:dyDescent="0.35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2:26" ht="12.75" customHeight="1" x14ac:dyDescent="0.35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2:26" ht="12.75" customHeight="1" x14ac:dyDescent="0.3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2:26" ht="12.75" customHeight="1" x14ac:dyDescent="0.35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2:26" ht="12.75" customHeight="1" x14ac:dyDescent="0.35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2:26" ht="12.75" customHeight="1" x14ac:dyDescent="0.35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2:26" ht="12.75" customHeight="1" x14ac:dyDescent="0.35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2:26" ht="12.75" customHeight="1" x14ac:dyDescent="0.35"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2:26" ht="12.75" customHeight="1" x14ac:dyDescent="0.35"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2:26" ht="12.75" customHeight="1" x14ac:dyDescent="0.35"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2:26" ht="12.75" customHeight="1" x14ac:dyDescent="0.35"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2:26" ht="12.75" customHeight="1" x14ac:dyDescent="0.35"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2:26" ht="12.75" customHeight="1" x14ac:dyDescent="0.35"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2:26" ht="12.75" customHeight="1" x14ac:dyDescent="0.35"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2:26" ht="12.75" customHeight="1" x14ac:dyDescent="0.35"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2:26" ht="12.75" customHeight="1" x14ac:dyDescent="0.35"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2:26" ht="12.75" customHeight="1" x14ac:dyDescent="0.35"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2:26" ht="12.75" customHeight="1" x14ac:dyDescent="0.35"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2:26" ht="12.75" customHeight="1" x14ac:dyDescent="0.35"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2:26" ht="12.75" customHeight="1" x14ac:dyDescent="0.35"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2:26" ht="12.75" customHeight="1" x14ac:dyDescent="0.35"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2:26" ht="12.75" customHeight="1" x14ac:dyDescent="0.35"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2:26" ht="12.75" customHeight="1" x14ac:dyDescent="0.35"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2:26" ht="12.75" customHeight="1" x14ac:dyDescent="0.35"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2:26" ht="12.75" customHeight="1" x14ac:dyDescent="0.35"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2:26" ht="12.75" customHeight="1" x14ac:dyDescent="0.35"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2:26" ht="12.75" customHeight="1" x14ac:dyDescent="0.35"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2:26" ht="12.75" customHeight="1" x14ac:dyDescent="0.35"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2:26" ht="12.75" customHeight="1" x14ac:dyDescent="0.35"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2:26" ht="12.75" customHeight="1" x14ac:dyDescent="0.35"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2:26" ht="12.75" customHeight="1" x14ac:dyDescent="0.35"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2:26" ht="12.75" customHeight="1" x14ac:dyDescent="0.35"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2:26" ht="12.75" customHeight="1" x14ac:dyDescent="0.35"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2:26" ht="12.75" customHeight="1" x14ac:dyDescent="0.35"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2:26" ht="12.75" customHeight="1" x14ac:dyDescent="0.35"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2:26" ht="12.75" customHeight="1" x14ac:dyDescent="0.35"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2:26" ht="12.75" customHeight="1" x14ac:dyDescent="0.35"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2:26" ht="12.75" customHeight="1" x14ac:dyDescent="0.35"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000"/>
  <sheetViews>
    <sheetView showGridLines="0"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K3" sqref="K3"/>
    </sheetView>
  </sheetViews>
  <sheetFormatPr defaultColWidth="14.453125" defaultRowHeight="15" customHeight="1" x14ac:dyDescent="0.35"/>
  <cols>
    <col min="1" max="1" width="4.54296875" style="8" customWidth="1"/>
    <col min="2" max="4" width="8.81640625" customWidth="1"/>
    <col min="5" max="5" width="13.1796875" customWidth="1"/>
    <col min="6" max="6" width="8.81640625" customWidth="1"/>
    <col min="7" max="18" width="14.54296875" customWidth="1"/>
    <col min="19" max="19" width="2.1796875" customWidth="1"/>
    <col min="20" max="38" width="8.81640625" customWidth="1"/>
  </cols>
  <sheetData>
    <row r="1" spans="1:38" ht="18.5" x14ac:dyDescent="0.45">
      <c r="A1" s="4"/>
      <c r="B1" s="2"/>
      <c r="C1" s="2"/>
      <c r="D1" s="2"/>
      <c r="E1" s="2"/>
      <c r="F1" s="2"/>
      <c r="G1" s="2"/>
      <c r="H1" s="450"/>
      <c r="I1" s="2"/>
      <c r="J1" s="2"/>
      <c r="K1" s="2"/>
      <c r="L1" s="2"/>
      <c r="M1" s="2"/>
      <c r="N1" s="2"/>
      <c r="O1" s="2"/>
      <c r="P1" s="2"/>
      <c r="Q1" s="2"/>
      <c r="R1" s="3"/>
      <c r="S1" s="6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ht="14.5" x14ac:dyDescent="0.35">
      <c r="A2" s="7"/>
      <c r="B2" s="8"/>
      <c r="C2" s="8"/>
      <c r="D2" s="8"/>
      <c r="E2" s="8"/>
      <c r="F2" s="8"/>
      <c r="G2" s="8"/>
      <c r="H2" s="7"/>
      <c r="I2" s="8"/>
      <c r="J2" s="8"/>
      <c r="K2" s="8"/>
      <c r="L2" s="8"/>
      <c r="M2" s="8"/>
      <c r="N2" s="8"/>
      <c r="O2" s="8"/>
      <c r="P2" s="8"/>
      <c r="Q2" s="8"/>
      <c r="R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</row>
    <row r="3" spans="1:38" ht="113.25" customHeight="1" x14ac:dyDescent="0.3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</row>
    <row r="4" spans="1:38" ht="13.5" customHeight="1" x14ac:dyDescent="0.35">
      <c r="B4" s="12" t="s">
        <v>269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5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</row>
    <row r="5" spans="1:38" ht="13.5" customHeight="1" x14ac:dyDescent="0.35">
      <c r="B5" s="293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93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</row>
    <row r="6" spans="1:38" ht="13.5" customHeight="1" x14ac:dyDescent="0.35">
      <c r="B6" s="293"/>
      <c r="C6" s="8"/>
      <c r="D6" s="8"/>
      <c r="E6" s="8"/>
      <c r="F6" s="8"/>
      <c r="G6" s="294">
        <f t="shared" ref="G6:R6" si="0">YEAR(G7)</f>
        <v>2024</v>
      </c>
      <c r="H6" s="294">
        <f t="shared" si="0"/>
        <v>2025</v>
      </c>
      <c r="I6" s="294">
        <f t="shared" si="0"/>
        <v>2026</v>
      </c>
      <c r="J6" s="294">
        <f t="shared" si="0"/>
        <v>2027</v>
      </c>
      <c r="K6" s="294">
        <f t="shared" si="0"/>
        <v>2028</v>
      </c>
      <c r="L6" s="294">
        <f t="shared" si="0"/>
        <v>2029</v>
      </c>
      <c r="M6" s="294">
        <f t="shared" si="0"/>
        <v>2030</v>
      </c>
      <c r="N6" s="294">
        <f t="shared" si="0"/>
        <v>2031</v>
      </c>
      <c r="O6" s="294">
        <f t="shared" si="0"/>
        <v>2032</v>
      </c>
      <c r="P6" s="294">
        <f t="shared" si="0"/>
        <v>2033</v>
      </c>
      <c r="Q6" s="294">
        <f t="shared" si="0"/>
        <v>2034</v>
      </c>
      <c r="R6" s="294">
        <f t="shared" si="0"/>
        <v>2035</v>
      </c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</row>
    <row r="7" spans="1:38" ht="13.5" customHeight="1" x14ac:dyDescent="0.35">
      <c r="B7" s="293"/>
      <c r="C7" s="8"/>
      <c r="D7" s="8"/>
      <c r="E7" s="8"/>
      <c r="F7" s="8"/>
      <c r="G7" s="295">
        <f>Inputs!F16</f>
        <v>45488</v>
      </c>
      <c r="H7" s="295">
        <f t="shared" ref="H7:R7" si="1">+EOMONTH(G7,12)</f>
        <v>45869</v>
      </c>
      <c r="I7" s="295">
        <f t="shared" si="1"/>
        <v>46234</v>
      </c>
      <c r="J7" s="295">
        <f t="shared" si="1"/>
        <v>46599</v>
      </c>
      <c r="K7" s="295">
        <f t="shared" si="1"/>
        <v>46965</v>
      </c>
      <c r="L7" s="295">
        <f t="shared" si="1"/>
        <v>47330</v>
      </c>
      <c r="M7" s="295">
        <f t="shared" si="1"/>
        <v>47695</v>
      </c>
      <c r="N7" s="295">
        <f t="shared" si="1"/>
        <v>48060</v>
      </c>
      <c r="O7" s="295">
        <f t="shared" si="1"/>
        <v>48426</v>
      </c>
      <c r="P7" s="295">
        <f t="shared" si="1"/>
        <v>48791</v>
      </c>
      <c r="Q7" s="295">
        <f t="shared" si="1"/>
        <v>49156</v>
      </c>
      <c r="R7" s="296">
        <f t="shared" si="1"/>
        <v>49521</v>
      </c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</row>
    <row r="8" spans="1:38" ht="13.5" customHeight="1" x14ac:dyDescent="0.35">
      <c r="B8" s="92"/>
      <c r="C8" s="8"/>
      <c r="D8" s="8"/>
      <c r="E8" s="8"/>
      <c r="F8" s="30"/>
      <c r="G8" s="297">
        <f>+Inputs!C55</f>
        <v>0</v>
      </c>
      <c r="H8" s="297">
        <f>+Inputs!D55</f>
        <v>1</v>
      </c>
      <c r="I8" s="297">
        <f>+Inputs!E55</f>
        <v>2</v>
      </c>
      <c r="J8" s="297">
        <f>+Inputs!F55</f>
        <v>3</v>
      </c>
      <c r="K8" s="297">
        <f>+Inputs!G55</f>
        <v>4</v>
      </c>
      <c r="L8" s="297">
        <f>+Inputs!H55</f>
        <v>5</v>
      </c>
      <c r="M8" s="297">
        <f>+Inputs!I55</f>
        <v>6</v>
      </c>
      <c r="N8" s="297">
        <f>+Inputs!J55</f>
        <v>7</v>
      </c>
      <c r="O8" s="297">
        <f>+Inputs!K55</f>
        <v>8</v>
      </c>
      <c r="P8" s="297">
        <f>+Inputs!L55</f>
        <v>9</v>
      </c>
      <c r="Q8" s="297">
        <f>+Inputs!M55</f>
        <v>10</v>
      </c>
      <c r="R8" s="298">
        <f>+Inputs!N55</f>
        <v>11</v>
      </c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8"/>
      <c r="AK8" s="8"/>
      <c r="AL8" s="8"/>
    </row>
    <row r="9" spans="1:38" ht="13.5" customHeight="1" x14ac:dyDescent="0.35">
      <c r="B9" s="299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93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</row>
    <row r="10" spans="1:38" ht="13.5" customHeight="1" x14ac:dyDescent="0.35">
      <c r="B10" s="299" t="s">
        <v>270</v>
      </c>
      <c r="C10" s="8"/>
      <c r="D10" s="8"/>
      <c r="E10" s="8"/>
      <c r="F10" s="8"/>
      <c r="G10" s="21">
        <f>+Inputs!C57</f>
        <v>103</v>
      </c>
      <c r="H10" s="21">
        <f>+Inputs!D57</f>
        <v>103</v>
      </c>
      <c r="I10" s="21">
        <f>+Inputs!E57</f>
        <v>103</v>
      </c>
      <c r="J10" s="21">
        <f>+Inputs!F57</f>
        <v>103</v>
      </c>
      <c r="K10" s="21">
        <f>+Inputs!G57</f>
        <v>103</v>
      </c>
      <c r="L10" s="21">
        <f>+Inputs!H57</f>
        <v>103</v>
      </c>
      <c r="M10" s="21">
        <f>+Inputs!I57</f>
        <v>103</v>
      </c>
      <c r="N10" s="21">
        <f>+Inputs!J57</f>
        <v>103</v>
      </c>
      <c r="O10" s="21">
        <f>+Inputs!K57</f>
        <v>103</v>
      </c>
      <c r="P10" s="21">
        <f>+Inputs!L57</f>
        <v>103</v>
      </c>
      <c r="Q10" s="21">
        <f>+Inputs!M57</f>
        <v>103</v>
      </c>
      <c r="R10" s="103">
        <f>+Inputs!N57</f>
        <v>103</v>
      </c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</row>
    <row r="11" spans="1:38" ht="13.5" customHeight="1" x14ac:dyDescent="0.35">
      <c r="B11" s="299" t="s">
        <v>271</v>
      </c>
      <c r="C11" s="8"/>
      <c r="D11" s="8"/>
      <c r="E11" s="8"/>
      <c r="F11" s="8"/>
      <c r="G11" s="21">
        <f>+Inputs!C58</f>
        <v>37595</v>
      </c>
      <c r="H11" s="21">
        <f>+Inputs!D58</f>
        <v>37595</v>
      </c>
      <c r="I11" s="21">
        <f>+Inputs!E58</f>
        <v>37595</v>
      </c>
      <c r="J11" s="21">
        <f>+Inputs!F58</f>
        <v>37595</v>
      </c>
      <c r="K11" s="21">
        <f>+Inputs!G58</f>
        <v>37595</v>
      </c>
      <c r="L11" s="21">
        <f>+Inputs!H58</f>
        <v>37595</v>
      </c>
      <c r="M11" s="21">
        <f>+Inputs!I58</f>
        <v>37595</v>
      </c>
      <c r="N11" s="21">
        <f>+Inputs!J58</f>
        <v>37595</v>
      </c>
      <c r="O11" s="21">
        <f>+Inputs!K58</f>
        <v>37595</v>
      </c>
      <c r="P11" s="21">
        <f>+Inputs!L58</f>
        <v>37595</v>
      </c>
      <c r="Q11" s="21">
        <f>+Inputs!M58</f>
        <v>37595</v>
      </c>
      <c r="R11" s="103">
        <f>+Inputs!N58</f>
        <v>37595</v>
      </c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</row>
    <row r="12" spans="1:38" ht="13.5" customHeight="1" x14ac:dyDescent="0.35">
      <c r="B12" s="299" t="s">
        <v>162</v>
      </c>
      <c r="C12" s="8"/>
      <c r="D12" s="8"/>
      <c r="E12" s="8"/>
      <c r="F12" s="8"/>
      <c r="G12" s="45"/>
      <c r="H12" s="45">
        <f>+Inputs!D59</f>
        <v>0.5</v>
      </c>
      <c r="I12" s="45">
        <f>+Inputs!E59</f>
        <v>0.57999999999999996</v>
      </c>
      <c r="J12" s="45">
        <f>+Inputs!F59</f>
        <v>0.65</v>
      </c>
      <c r="K12" s="45">
        <f>+Inputs!G59</f>
        <v>0.65</v>
      </c>
      <c r="L12" s="45">
        <f>+Inputs!H59</f>
        <v>0.65</v>
      </c>
      <c r="M12" s="45">
        <f>+Inputs!I59</f>
        <v>0.65</v>
      </c>
      <c r="N12" s="45">
        <f>+Inputs!J59</f>
        <v>0.65</v>
      </c>
      <c r="O12" s="45">
        <f>+Inputs!K59</f>
        <v>0.65</v>
      </c>
      <c r="P12" s="45">
        <f>+Inputs!L59</f>
        <v>0.65</v>
      </c>
      <c r="Q12" s="45">
        <f>+Inputs!M59</f>
        <v>0.65</v>
      </c>
      <c r="R12" s="131">
        <f>+Inputs!N59</f>
        <v>0.65</v>
      </c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</row>
    <row r="13" spans="1:38" ht="13.5" customHeight="1" x14ac:dyDescent="0.35">
      <c r="B13" s="299" t="s">
        <v>168</v>
      </c>
      <c r="C13" s="8"/>
      <c r="D13" s="8"/>
      <c r="E13" s="8"/>
      <c r="F13" s="8"/>
      <c r="G13" s="21"/>
      <c r="H13" s="21">
        <f>+Inputs!D60</f>
        <v>18797.5</v>
      </c>
      <c r="I13" s="21">
        <f>+Inputs!E60</f>
        <v>21805.1</v>
      </c>
      <c r="J13" s="21">
        <f>+Inputs!F60</f>
        <v>24436.75</v>
      </c>
      <c r="K13" s="21">
        <f>+Inputs!G60</f>
        <v>24436.75</v>
      </c>
      <c r="L13" s="21">
        <f>+Inputs!H60</f>
        <v>24436.75</v>
      </c>
      <c r="M13" s="21">
        <f>+Inputs!I60</f>
        <v>24436.75</v>
      </c>
      <c r="N13" s="21">
        <f>+Inputs!J60</f>
        <v>24436.75</v>
      </c>
      <c r="O13" s="21">
        <f>+Inputs!K60</f>
        <v>24436.75</v>
      </c>
      <c r="P13" s="21">
        <f>+Inputs!L60</f>
        <v>24436.75</v>
      </c>
      <c r="Q13" s="21">
        <f>+Inputs!M60</f>
        <v>24436.75</v>
      </c>
      <c r="R13" s="103">
        <f>+Inputs!N60</f>
        <v>24436.75</v>
      </c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</row>
    <row r="14" spans="1:38" ht="13.5" customHeight="1" x14ac:dyDescent="0.35">
      <c r="B14" s="299" t="s">
        <v>272</v>
      </c>
      <c r="C14" s="8"/>
      <c r="D14" s="8"/>
      <c r="E14" s="8"/>
      <c r="F14" s="8"/>
      <c r="G14" s="300"/>
      <c r="H14" s="300">
        <f>+Inputs!D62</f>
        <v>103</v>
      </c>
      <c r="I14" s="300">
        <f>+Inputs!E62</f>
        <v>106.60499999999999</v>
      </c>
      <c r="J14" s="300">
        <f>+Inputs!F62</f>
        <v>110.33617499999998</v>
      </c>
      <c r="K14" s="300">
        <f>+Inputs!G62</f>
        <v>114.19794112499997</v>
      </c>
      <c r="L14" s="300">
        <f>+Inputs!H62</f>
        <v>118.19486906437496</v>
      </c>
      <c r="M14" s="300">
        <f>+Inputs!I62</f>
        <v>122.33168948162808</v>
      </c>
      <c r="N14" s="300">
        <f>+Inputs!J62</f>
        <v>126.61329861348504</v>
      </c>
      <c r="O14" s="300">
        <f>+Inputs!K62</f>
        <v>131.04476406495701</v>
      </c>
      <c r="P14" s="300">
        <f>+Inputs!L62</f>
        <v>135.63133080723048</v>
      </c>
      <c r="Q14" s="300">
        <f>+Inputs!M62</f>
        <v>140.37842738548355</v>
      </c>
      <c r="R14" s="301">
        <f>+Inputs!N62</f>
        <v>145.29167234397545</v>
      </c>
      <c r="T14" s="8"/>
      <c r="U14" s="77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</row>
    <row r="15" spans="1:38" ht="13.5" customHeight="1" x14ac:dyDescent="0.35">
      <c r="B15" s="299" t="s">
        <v>273</v>
      </c>
      <c r="C15" s="8"/>
      <c r="D15" s="8"/>
      <c r="E15" s="8"/>
      <c r="F15" s="8"/>
      <c r="G15" s="300"/>
      <c r="H15" s="300">
        <f t="shared" ref="H15:R15" si="2">H14*H12</f>
        <v>51.5</v>
      </c>
      <c r="I15" s="300">
        <f t="shared" si="2"/>
        <v>61.830899999999993</v>
      </c>
      <c r="J15" s="300">
        <f t="shared" si="2"/>
        <v>71.718513749999985</v>
      </c>
      <c r="K15" s="300">
        <f t="shared" si="2"/>
        <v>74.228661731249986</v>
      </c>
      <c r="L15" s="300">
        <f t="shared" si="2"/>
        <v>76.82666489184372</v>
      </c>
      <c r="M15" s="300">
        <f t="shared" si="2"/>
        <v>79.515598163058257</v>
      </c>
      <c r="N15" s="300">
        <f t="shared" si="2"/>
        <v>82.29864409876528</v>
      </c>
      <c r="O15" s="300">
        <f t="shared" si="2"/>
        <v>85.179096642222063</v>
      </c>
      <c r="P15" s="300">
        <f t="shared" si="2"/>
        <v>88.160365024699814</v>
      </c>
      <c r="Q15" s="300">
        <f t="shared" si="2"/>
        <v>91.245977800564305</v>
      </c>
      <c r="R15" s="300">
        <f t="shared" si="2"/>
        <v>94.439587023584039</v>
      </c>
      <c r="T15" s="8"/>
      <c r="U15" s="77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</row>
    <row r="16" spans="1:38" ht="13.5" customHeight="1" x14ac:dyDescent="0.35">
      <c r="B16" s="299"/>
      <c r="C16" s="8"/>
      <c r="D16" s="8"/>
      <c r="E16" s="8"/>
      <c r="F16" s="8"/>
      <c r="G16" s="8"/>
      <c r="H16" s="300"/>
      <c r="I16" s="8"/>
      <c r="J16" s="8"/>
      <c r="K16" s="8"/>
      <c r="L16" s="8"/>
      <c r="M16" s="8"/>
      <c r="N16" s="8"/>
      <c r="O16" s="8"/>
      <c r="P16" s="8"/>
      <c r="Q16" s="8"/>
      <c r="R16" s="93"/>
      <c r="T16" s="8"/>
      <c r="U16" s="77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</row>
    <row r="17" spans="2:38" ht="13.5" customHeight="1" x14ac:dyDescent="0.35">
      <c r="B17" s="302" t="s">
        <v>274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93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</row>
    <row r="18" spans="2:38" ht="13.5" customHeight="1" x14ac:dyDescent="0.35">
      <c r="B18" s="303" t="str">
        <f>+Inputs!B17</f>
        <v>Purchase Price</v>
      </c>
      <c r="C18" s="128"/>
      <c r="D18" s="128"/>
      <c r="E18" s="128"/>
      <c r="F18" s="128"/>
      <c r="G18" s="61">
        <f>-Inputs!F17</f>
        <v>-8750000</v>
      </c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304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</row>
    <row r="19" spans="2:38" ht="13.5" customHeight="1" x14ac:dyDescent="0.35">
      <c r="B19" s="299" t="str">
        <f>+Inputs!B18</f>
        <v>Acquisition Costs</v>
      </c>
      <c r="C19" s="8"/>
      <c r="D19" s="8"/>
      <c r="E19" s="8"/>
      <c r="F19" s="8"/>
      <c r="G19" s="21">
        <f>-Inputs!F18</f>
        <v>-175000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103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</row>
    <row r="20" spans="2:38" ht="13.5" customHeight="1" x14ac:dyDescent="0.35">
      <c r="B20" s="299" t="str">
        <f>+Inputs!B20</f>
        <v>Tax Reserve</v>
      </c>
      <c r="C20" s="8"/>
      <c r="D20" s="8"/>
      <c r="E20" s="8"/>
      <c r="F20" s="8"/>
      <c r="G20" s="21">
        <f>-Inputs!F20</f>
        <v>-40000</v>
      </c>
      <c r="H20" s="21">
        <f>-G20</f>
        <v>40000</v>
      </c>
      <c r="I20" s="21"/>
      <c r="J20" s="21"/>
      <c r="K20" s="21"/>
      <c r="L20" s="21"/>
      <c r="M20" s="21"/>
      <c r="N20" s="21"/>
      <c r="O20" s="21"/>
      <c r="P20" s="21"/>
      <c r="Q20" s="21"/>
      <c r="R20" s="103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</row>
    <row r="21" spans="2:38" ht="13.5" customHeight="1" x14ac:dyDescent="0.35">
      <c r="B21" s="299" t="str">
        <f>+Inputs!B21</f>
        <v>DD / Legal</v>
      </c>
      <c r="C21" s="8"/>
      <c r="D21" s="8"/>
      <c r="E21" s="8"/>
      <c r="F21" s="8"/>
      <c r="G21" s="21">
        <f>-Inputs!F21</f>
        <v>0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103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 spans="2:38" ht="13.5" customHeight="1" x14ac:dyDescent="0.35">
      <c r="B22" s="299" t="str">
        <f>+Inputs!B22</f>
        <v>CapEx/Renovation</v>
      </c>
      <c r="C22" s="8"/>
      <c r="D22" s="8"/>
      <c r="E22" s="8"/>
      <c r="F22" s="8"/>
      <c r="G22" s="21">
        <f>-Inputs!F22</f>
        <v>-150000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103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</row>
    <row r="23" spans="2:38" ht="13.5" customHeight="1" x14ac:dyDescent="0.35">
      <c r="B23" s="299" t="str">
        <f>+Inputs!B23</f>
        <v xml:space="preserve">Other </v>
      </c>
      <c r="C23" s="8"/>
      <c r="D23" s="8"/>
      <c r="E23" s="8"/>
      <c r="F23" s="8"/>
      <c r="G23" s="21">
        <f>-Inputs!F23</f>
        <v>-109375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103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</row>
    <row r="24" spans="2:38" ht="13.5" customHeight="1" x14ac:dyDescent="0.35">
      <c r="B24" s="46" t="s">
        <v>275</v>
      </c>
      <c r="C24" s="47"/>
      <c r="D24" s="47"/>
      <c r="E24" s="47"/>
      <c r="F24" s="47"/>
      <c r="G24" s="305">
        <f t="shared" ref="G24:R24" si="3">SUM(G18:G23)</f>
        <v>-9224375</v>
      </c>
      <c r="H24" s="305">
        <f t="shared" si="3"/>
        <v>40000</v>
      </c>
      <c r="I24" s="305">
        <f t="shared" si="3"/>
        <v>0</v>
      </c>
      <c r="J24" s="305">
        <f t="shared" si="3"/>
        <v>0</v>
      </c>
      <c r="K24" s="305">
        <f t="shared" si="3"/>
        <v>0</v>
      </c>
      <c r="L24" s="305">
        <f t="shared" si="3"/>
        <v>0</v>
      </c>
      <c r="M24" s="305">
        <f t="shared" si="3"/>
        <v>0</v>
      </c>
      <c r="N24" s="305">
        <f t="shared" si="3"/>
        <v>0</v>
      </c>
      <c r="O24" s="305">
        <f t="shared" si="3"/>
        <v>0</v>
      </c>
      <c r="P24" s="305">
        <f t="shared" si="3"/>
        <v>0</v>
      </c>
      <c r="Q24" s="305">
        <f t="shared" si="3"/>
        <v>0</v>
      </c>
      <c r="R24" s="306">
        <f t="shared" si="3"/>
        <v>0</v>
      </c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</row>
    <row r="25" spans="2:38" ht="13.5" customHeight="1" x14ac:dyDescent="0.35">
      <c r="B25" s="92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93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</row>
    <row r="26" spans="2:38" ht="13.5" customHeight="1" x14ac:dyDescent="0.35">
      <c r="B26" s="302" t="s">
        <v>276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3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</row>
    <row r="27" spans="2:38" ht="13.5" customHeight="1" x14ac:dyDescent="0.35">
      <c r="B27" s="307" t="s">
        <v>155</v>
      </c>
      <c r="C27" s="128"/>
      <c r="D27" s="128"/>
      <c r="E27" s="128"/>
      <c r="F27" s="128"/>
      <c r="G27" s="61"/>
      <c r="H27" s="61">
        <f t="shared" ref="H27:R27" si="4">+H14*H13</f>
        <v>1936142.5</v>
      </c>
      <c r="I27" s="61">
        <f t="shared" si="4"/>
        <v>2324532.6854999997</v>
      </c>
      <c r="J27" s="61">
        <f t="shared" si="4"/>
        <v>2696257.5244312496</v>
      </c>
      <c r="K27" s="61">
        <f t="shared" si="4"/>
        <v>2790626.5377863431</v>
      </c>
      <c r="L27" s="61">
        <f t="shared" si="4"/>
        <v>2888298.4666088647</v>
      </c>
      <c r="M27" s="61">
        <f t="shared" si="4"/>
        <v>2989388.9129401748</v>
      </c>
      <c r="N27" s="61">
        <f t="shared" si="4"/>
        <v>3094017.5248930808</v>
      </c>
      <c r="O27" s="61">
        <f t="shared" si="4"/>
        <v>3202308.138264338</v>
      </c>
      <c r="P27" s="61">
        <f t="shared" si="4"/>
        <v>3314388.9231035896</v>
      </c>
      <c r="Q27" s="61">
        <f t="shared" si="4"/>
        <v>3430392.5354122152</v>
      </c>
      <c r="R27" s="304">
        <f t="shared" si="4"/>
        <v>3550456.2741516419</v>
      </c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</row>
    <row r="28" spans="2:38" ht="13.5" customHeight="1" x14ac:dyDescent="0.35">
      <c r="B28" s="92" t="s">
        <v>277</v>
      </c>
      <c r="C28" s="8"/>
      <c r="D28" s="8"/>
      <c r="E28" s="8"/>
      <c r="F28" s="8"/>
      <c r="G28" s="308"/>
      <c r="H28" s="308">
        <f>+Inputs!D68*'Annual Cash Flows'!H13</f>
        <v>0</v>
      </c>
      <c r="I28" s="308">
        <f>+Inputs!E68*'Annual Cash Flows'!I13</f>
        <v>0</v>
      </c>
      <c r="J28" s="308">
        <f>+Inputs!F68*'Annual Cash Flows'!J13</f>
        <v>0</v>
      </c>
      <c r="K28" s="308">
        <f>+Inputs!G68*'Annual Cash Flows'!K13</f>
        <v>0</v>
      </c>
      <c r="L28" s="308">
        <f>+Inputs!H68*'Annual Cash Flows'!L13</f>
        <v>0</v>
      </c>
      <c r="M28" s="308">
        <f>+Inputs!I68*'Annual Cash Flows'!M13</f>
        <v>0</v>
      </c>
      <c r="N28" s="308">
        <f>+Inputs!J68*'Annual Cash Flows'!N13</f>
        <v>0</v>
      </c>
      <c r="O28" s="308">
        <f>+Inputs!K68*'Annual Cash Flows'!O13</f>
        <v>0</v>
      </c>
      <c r="P28" s="308">
        <f>+Inputs!L68*'Annual Cash Flows'!P13</f>
        <v>0</v>
      </c>
      <c r="Q28" s="308">
        <f>+Inputs!M68*'Annual Cash Flows'!Q13</f>
        <v>0</v>
      </c>
      <c r="R28" s="119">
        <f>+Inputs!N68*'Annual Cash Flows'!R13</f>
        <v>0</v>
      </c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</row>
    <row r="29" spans="2:38" ht="13.5" customHeight="1" x14ac:dyDescent="0.35">
      <c r="B29" s="92" t="s">
        <v>278</v>
      </c>
      <c r="C29" s="8"/>
      <c r="D29" s="8"/>
      <c r="E29" s="8"/>
      <c r="F29" s="8"/>
      <c r="G29" s="308"/>
      <c r="H29" s="308">
        <f>+Inputs!D71*'Annual Cash Flows'!H13</f>
        <v>93987.5</v>
      </c>
      <c r="I29" s="21">
        <f>+Inputs!E71*'Annual Cash Flows'!I13</f>
        <v>112296.265</v>
      </c>
      <c r="J29" s="21">
        <f>+Inputs!F71*'Annual Cash Flows'!J13</f>
        <v>129624.74037500002</v>
      </c>
      <c r="K29" s="21">
        <f>+Inputs!G71*'Annual Cash Flows'!K13</f>
        <v>133513.48258625003</v>
      </c>
      <c r="L29" s="21">
        <f>+Inputs!H71*'Annual Cash Flows'!L13</f>
        <v>137518.88706383752</v>
      </c>
      <c r="M29" s="21">
        <f>+Inputs!I71*'Annual Cash Flows'!M13</f>
        <v>141644.45367575265</v>
      </c>
      <c r="N29" s="21">
        <f>+Inputs!J71*'Annual Cash Flows'!N13</f>
        <v>145893.78728602524</v>
      </c>
      <c r="O29" s="21">
        <f>+Inputs!K71*'Annual Cash Flows'!O13</f>
        <v>150270.60090460599</v>
      </c>
      <c r="P29" s="21">
        <f>+Inputs!L71*'Annual Cash Flows'!P13</f>
        <v>154778.7189317442</v>
      </c>
      <c r="Q29" s="21">
        <f>+Inputs!M71*'Annual Cash Flows'!Q13</f>
        <v>159422.08049969652</v>
      </c>
      <c r="R29" s="103">
        <f>+Inputs!N71*'Annual Cash Flows'!R13</f>
        <v>164204.74291468741</v>
      </c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</row>
    <row r="30" spans="2:38" ht="13.5" customHeight="1" x14ac:dyDescent="0.35">
      <c r="B30" s="46" t="s">
        <v>279</v>
      </c>
      <c r="C30" s="47"/>
      <c r="D30" s="47"/>
      <c r="E30" s="47"/>
      <c r="F30" s="47"/>
      <c r="G30" s="305"/>
      <c r="H30" s="305">
        <f t="shared" ref="H30:R30" si="5">SUM(H27:H29)</f>
        <v>2030130</v>
      </c>
      <c r="I30" s="305">
        <f t="shared" si="5"/>
        <v>2436828.9504999998</v>
      </c>
      <c r="J30" s="305">
        <f t="shared" si="5"/>
        <v>2825882.2648062496</v>
      </c>
      <c r="K30" s="305">
        <f t="shared" si="5"/>
        <v>2924140.0203725933</v>
      </c>
      <c r="L30" s="305">
        <f t="shared" si="5"/>
        <v>3025817.3536727023</v>
      </c>
      <c r="M30" s="305">
        <f t="shared" si="5"/>
        <v>3131033.3666159273</v>
      </c>
      <c r="N30" s="305">
        <f t="shared" si="5"/>
        <v>3239911.3121791063</v>
      </c>
      <c r="O30" s="305">
        <f t="shared" si="5"/>
        <v>3352578.7391689438</v>
      </c>
      <c r="P30" s="305">
        <f t="shared" si="5"/>
        <v>3469167.6420353339</v>
      </c>
      <c r="Q30" s="305">
        <f t="shared" si="5"/>
        <v>3589814.6159119117</v>
      </c>
      <c r="R30" s="306">
        <f t="shared" si="5"/>
        <v>3714661.0170663293</v>
      </c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</row>
    <row r="31" spans="2:38" ht="13.5" customHeight="1" x14ac:dyDescent="0.35">
      <c r="B31" s="117"/>
      <c r="C31" s="17"/>
      <c r="D31" s="17"/>
      <c r="E31" s="17"/>
      <c r="F31" s="17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10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</row>
    <row r="32" spans="2:38" ht="13.5" customHeight="1" x14ac:dyDescent="0.35">
      <c r="B32" s="302" t="s">
        <v>280</v>
      </c>
      <c r="C32" s="8"/>
      <c r="D32" s="8"/>
      <c r="E32" s="8"/>
      <c r="F32" s="8"/>
      <c r="G32" s="311"/>
      <c r="H32" s="311"/>
      <c r="I32" s="61"/>
      <c r="J32" s="61"/>
      <c r="K32" s="61"/>
      <c r="L32" s="61"/>
      <c r="M32" s="61"/>
      <c r="N32" s="61"/>
      <c r="O32" s="61"/>
      <c r="P32" s="61"/>
      <c r="Q32" s="61"/>
      <c r="R32" s="304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</row>
    <row r="33" spans="2:38" ht="13.5" customHeight="1" x14ac:dyDescent="0.35">
      <c r="B33" s="307" t="s">
        <v>281</v>
      </c>
      <c r="C33" s="128"/>
      <c r="D33" s="128"/>
      <c r="E33" s="128"/>
      <c r="F33" s="128"/>
      <c r="G33" s="61"/>
      <c r="H33" s="61">
        <f>(+Inputs!D74*'Annual Cash Flows'!H27)*-1</f>
        <v>-968071.25</v>
      </c>
      <c r="I33" s="61">
        <f>(+Inputs!E74*'Annual Cash Flows'!I27)*-1</f>
        <v>-1162266.3427499998</v>
      </c>
      <c r="J33" s="61">
        <f>(+Inputs!F74*'Annual Cash Flows'!J27)*-1</f>
        <v>-1348128.7622156248</v>
      </c>
      <c r="K33" s="61">
        <f>(+Inputs!G74*'Annual Cash Flows'!K27)*-1</f>
        <v>-1395313.2688931716</v>
      </c>
      <c r="L33" s="61">
        <f>(+Inputs!H74*'Annual Cash Flows'!L27)*-1</f>
        <v>-1444149.2333044324</v>
      </c>
      <c r="M33" s="61">
        <f>(+Inputs!I74*'Annual Cash Flows'!M27)*-1</f>
        <v>-1494694.4564700874</v>
      </c>
      <c r="N33" s="61">
        <f>(+Inputs!J74*'Annual Cash Flows'!N27)*-1</f>
        <v>-1547008.7624465404</v>
      </c>
      <c r="O33" s="61">
        <f>(+Inputs!K74*'Annual Cash Flows'!O27)*-1</f>
        <v>-1601154.069132169</v>
      </c>
      <c r="P33" s="61">
        <f>(+Inputs!L74*'Annual Cash Flows'!P27)*-1</f>
        <v>-1657194.4615517948</v>
      </c>
      <c r="Q33" s="61">
        <f>(+Inputs!M74*'Annual Cash Flows'!Q27)*-1</f>
        <v>-1715196.2677061076</v>
      </c>
      <c r="R33" s="304">
        <f>(+Inputs!N74*'Annual Cash Flows'!R27)*-1</f>
        <v>-1775228.1370758209</v>
      </c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</row>
    <row r="34" spans="2:38" ht="13.5" customHeight="1" x14ac:dyDescent="0.35">
      <c r="B34" s="92" t="s">
        <v>282</v>
      </c>
      <c r="C34" s="8"/>
      <c r="D34" s="8"/>
      <c r="E34" s="8"/>
      <c r="F34" s="8"/>
      <c r="G34" s="308"/>
      <c r="H34" s="308">
        <f>(+Inputs!D75*'Annual Cash Flows'!H28)*-1</f>
        <v>0</v>
      </c>
      <c r="I34" s="308">
        <f>(+Inputs!E75*'Annual Cash Flows'!I28)*-1</f>
        <v>0</v>
      </c>
      <c r="J34" s="308">
        <f>(+Inputs!F75*'Annual Cash Flows'!J28)*-1</f>
        <v>0</v>
      </c>
      <c r="K34" s="308">
        <f>(+Inputs!G75*'Annual Cash Flows'!K28)*-1</f>
        <v>0</v>
      </c>
      <c r="L34" s="308">
        <f>(+Inputs!H75*'Annual Cash Flows'!L28)*-1</f>
        <v>0</v>
      </c>
      <c r="M34" s="308">
        <f>(+Inputs!I75*'Annual Cash Flows'!M28)*-1</f>
        <v>0</v>
      </c>
      <c r="N34" s="308">
        <f>(+Inputs!J75*'Annual Cash Flows'!N28)*-1</f>
        <v>0</v>
      </c>
      <c r="O34" s="308">
        <f>(+Inputs!K75*'Annual Cash Flows'!O28)*-1</f>
        <v>0</v>
      </c>
      <c r="P34" s="308">
        <f>(+Inputs!L75*'Annual Cash Flows'!P28)*-1</f>
        <v>0</v>
      </c>
      <c r="Q34" s="308">
        <f>(+Inputs!M75*'Annual Cash Flows'!Q28)*-1</f>
        <v>0</v>
      </c>
      <c r="R34" s="119">
        <f>(+Inputs!N75*'Annual Cash Flows'!R28)*-1</f>
        <v>0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</row>
    <row r="35" spans="2:38" ht="13.5" customHeight="1" x14ac:dyDescent="0.35">
      <c r="B35" s="92" t="s">
        <v>283</v>
      </c>
      <c r="C35" s="8"/>
      <c r="D35" s="8"/>
      <c r="E35" s="8"/>
      <c r="F35" s="8"/>
      <c r="G35" s="308"/>
      <c r="H35" s="308">
        <f>(+Inputs!D76*'Annual Cash Flows'!H29)*-1</f>
        <v>-18797.5</v>
      </c>
      <c r="I35" s="21">
        <f>(+Inputs!E76*'Annual Cash Flows'!I29)*-1</f>
        <v>-22459.253000000001</v>
      </c>
      <c r="J35" s="21">
        <f>(+Inputs!F76*'Annual Cash Flows'!J29)*-1</f>
        <v>-25924.948075000008</v>
      </c>
      <c r="K35" s="21">
        <f>(+Inputs!G76*'Annual Cash Flows'!K29)*-1</f>
        <v>-26702.696517250006</v>
      </c>
      <c r="L35" s="21">
        <f>(+Inputs!H76*'Annual Cash Flows'!L29)*-1</f>
        <v>-27503.777412767507</v>
      </c>
      <c r="M35" s="21">
        <f>(+Inputs!I76*'Annual Cash Flows'!M29)*-1</f>
        <v>-28328.890735150533</v>
      </c>
      <c r="N35" s="21">
        <f>(+Inputs!J76*'Annual Cash Flows'!N29)*-1</f>
        <v>-29178.757457205051</v>
      </c>
      <c r="O35" s="21">
        <f>(+Inputs!K76*'Annual Cash Flows'!O29)*-1</f>
        <v>-30054.1201809212</v>
      </c>
      <c r="P35" s="21">
        <f>(+Inputs!L76*'Annual Cash Flows'!P29)*-1</f>
        <v>-30955.743786348841</v>
      </c>
      <c r="Q35" s="21">
        <f>(+Inputs!M76*'Annual Cash Flows'!Q29)*-1</f>
        <v>-31884.416099939306</v>
      </c>
      <c r="R35" s="103">
        <f>(+Inputs!N76*'Annual Cash Flows'!R29)*-1</f>
        <v>-32840.948582937483</v>
      </c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</row>
    <row r="36" spans="2:38" ht="13.5" customHeight="1" x14ac:dyDescent="0.35">
      <c r="B36" s="46" t="s">
        <v>284</v>
      </c>
      <c r="C36" s="47"/>
      <c r="D36" s="47"/>
      <c r="E36" s="47"/>
      <c r="F36" s="47"/>
      <c r="G36" s="305"/>
      <c r="H36" s="305">
        <f t="shared" ref="H36:R36" si="6">SUM(H33:H35)</f>
        <v>-986868.75</v>
      </c>
      <c r="I36" s="305">
        <f t="shared" si="6"/>
        <v>-1184725.5957499999</v>
      </c>
      <c r="J36" s="305">
        <f t="shared" si="6"/>
        <v>-1374053.7102906248</v>
      </c>
      <c r="K36" s="305">
        <f t="shared" si="6"/>
        <v>-1422015.9654104216</v>
      </c>
      <c r="L36" s="305">
        <f t="shared" si="6"/>
        <v>-1471653.0107171999</v>
      </c>
      <c r="M36" s="305">
        <f t="shared" si="6"/>
        <v>-1523023.347205238</v>
      </c>
      <c r="N36" s="305">
        <f t="shared" si="6"/>
        <v>-1576187.5199037455</v>
      </c>
      <c r="O36" s="305">
        <f t="shared" si="6"/>
        <v>-1631208.1893130902</v>
      </c>
      <c r="P36" s="305">
        <f t="shared" si="6"/>
        <v>-1688150.2053381435</v>
      </c>
      <c r="Q36" s="305">
        <f t="shared" si="6"/>
        <v>-1747080.6838060468</v>
      </c>
      <c r="R36" s="306">
        <f t="shared" si="6"/>
        <v>-1808069.0856587584</v>
      </c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2:38" ht="13.5" customHeight="1" x14ac:dyDescent="0.35">
      <c r="B37" s="92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93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2:38" ht="13.5" customHeight="1" x14ac:dyDescent="0.35">
      <c r="B38" s="46" t="s">
        <v>285</v>
      </c>
      <c r="C38" s="47"/>
      <c r="D38" s="47"/>
      <c r="E38" s="47"/>
      <c r="F38" s="47"/>
      <c r="G38" s="305"/>
      <c r="H38" s="305">
        <f t="shared" ref="H38:R38" si="7">+H30+H36</f>
        <v>1043261.25</v>
      </c>
      <c r="I38" s="305">
        <f t="shared" si="7"/>
        <v>1252103.3547499999</v>
      </c>
      <c r="J38" s="305">
        <f t="shared" si="7"/>
        <v>1451828.5545156249</v>
      </c>
      <c r="K38" s="305">
        <f t="shared" si="7"/>
        <v>1502124.0549621717</v>
      </c>
      <c r="L38" s="305">
        <f t="shared" si="7"/>
        <v>1554164.3429555024</v>
      </c>
      <c r="M38" s="305">
        <f t="shared" si="7"/>
        <v>1608010.0194106894</v>
      </c>
      <c r="N38" s="305">
        <f t="shared" si="7"/>
        <v>1663723.7922753608</v>
      </c>
      <c r="O38" s="305">
        <f t="shared" si="7"/>
        <v>1721370.5498558537</v>
      </c>
      <c r="P38" s="305">
        <f t="shared" si="7"/>
        <v>1781017.4366971904</v>
      </c>
      <c r="Q38" s="305">
        <f t="shared" si="7"/>
        <v>1842733.9321058649</v>
      </c>
      <c r="R38" s="306">
        <f t="shared" si="7"/>
        <v>1906591.9314075708</v>
      </c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2:38" ht="13.5" customHeight="1" x14ac:dyDescent="0.35">
      <c r="B39" s="92"/>
      <c r="C39" s="8"/>
      <c r="D39" s="8"/>
      <c r="E39" s="8"/>
      <c r="F39" s="8"/>
      <c r="G39" s="312"/>
      <c r="H39" s="312"/>
      <c r="I39" s="61"/>
      <c r="J39" s="61"/>
      <c r="K39" s="61"/>
      <c r="L39" s="61"/>
      <c r="M39" s="61"/>
      <c r="N39" s="61"/>
      <c r="O39" s="61"/>
      <c r="P39" s="61"/>
      <c r="Q39" s="61"/>
      <c r="R39" s="304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spans="2:38" ht="13.5" customHeight="1" x14ac:dyDescent="0.35">
      <c r="B40" s="302" t="s">
        <v>286</v>
      </c>
      <c r="C40" s="8"/>
      <c r="D40" s="8"/>
      <c r="E40" s="8"/>
      <c r="F40" s="8"/>
      <c r="G40" s="313"/>
      <c r="H40" s="313"/>
      <c r="I40" s="21"/>
      <c r="J40" s="21"/>
      <c r="K40" s="21"/>
      <c r="L40" s="21"/>
      <c r="M40" s="21"/>
      <c r="N40" s="21"/>
      <c r="O40" s="21"/>
      <c r="P40" s="21"/>
      <c r="Q40" s="21"/>
      <c r="R40" s="103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</row>
    <row r="41" spans="2:38" ht="13.5" customHeight="1" x14ac:dyDescent="0.35">
      <c r="B41" s="307" t="s">
        <v>287</v>
      </c>
      <c r="C41" s="128"/>
      <c r="D41" s="128"/>
      <c r="E41" s="128"/>
      <c r="F41" s="128"/>
      <c r="G41" s="8"/>
      <c r="H41" s="21">
        <f>(+H$10*Inputs!D79)/-1</f>
        <v>-615287.99056603771</v>
      </c>
      <c r="I41" s="21">
        <f>(+I$10*Inputs!E79)/-1</f>
        <v>-636148.40566037747</v>
      </c>
      <c r="J41" s="21">
        <f>(+J$10*Inputs!F79)/-1</f>
        <v>-655232.85783018882</v>
      </c>
      <c r="K41" s="21">
        <f>(+K$10*Inputs!G79)/-1</f>
        <v>-674889.84356509452</v>
      </c>
      <c r="L41" s="21">
        <f>(+L$10*Inputs!H79)/-1</f>
        <v>-695136.53887204733</v>
      </c>
      <c r="M41" s="21">
        <f>(+M$10*Inputs!I79)/-1</f>
        <v>-715990.6350382088</v>
      </c>
      <c r="N41" s="21">
        <f>(+N$10*Inputs!J79)/-1</f>
        <v>-737470.3540893551</v>
      </c>
      <c r="O41" s="21">
        <f>(+O$10*Inputs!K79)/-1</f>
        <v>-759594.46471203573</v>
      </c>
      <c r="P41" s="21">
        <f>(+P$10*Inputs!L79)/-1</f>
        <v>-782382.29865339678</v>
      </c>
      <c r="Q41" s="21">
        <f>(+Q$10*Inputs!M79)/-1</f>
        <v>-805853.76761299872</v>
      </c>
      <c r="R41" s="103">
        <f>(+R$10*Inputs!N79)/-1</f>
        <v>-830029.38064138871</v>
      </c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</row>
    <row r="42" spans="2:38" ht="13.5" customHeight="1" x14ac:dyDescent="0.35">
      <c r="B42" s="92" t="s">
        <v>288</v>
      </c>
      <c r="C42" s="8"/>
      <c r="D42" s="8"/>
      <c r="E42" s="8"/>
      <c r="F42" s="8"/>
      <c r="G42" s="8"/>
      <c r="H42" s="21">
        <f>(+H$10*Inputs!D82)/-1</f>
        <v>-148366.64150943395</v>
      </c>
      <c r="I42" s="21">
        <f>(+I$10*Inputs!E82)/-1</f>
        <v>-154276.50943396229</v>
      </c>
      <c r="J42" s="21">
        <f>(+J$10*Inputs!F82)/-1</f>
        <v>-158904.80471698116</v>
      </c>
      <c r="K42" s="21">
        <f>(+K$10*Inputs!G82)/-1</f>
        <v>-163671.94885849062</v>
      </c>
      <c r="L42" s="21">
        <f>(+L$10*Inputs!H82)/-1</f>
        <v>-168582.10732424533</v>
      </c>
      <c r="M42" s="21">
        <f>(+M$10*Inputs!I82)/-1</f>
        <v>-173639.57054397269</v>
      </c>
      <c r="N42" s="21">
        <f>(+N$10*Inputs!J82)/-1</f>
        <v>-178848.75766029189</v>
      </c>
      <c r="O42" s="21">
        <f>(+O$10*Inputs!K82)/-1</f>
        <v>-184214.22039010064</v>
      </c>
      <c r="P42" s="21">
        <f>(+P$10*Inputs!L82)/-1</f>
        <v>-189740.64700180368</v>
      </c>
      <c r="Q42" s="21">
        <f>(+Q$10*Inputs!M82)/-1</f>
        <v>-195432.8664118578</v>
      </c>
      <c r="R42" s="103">
        <f>(+R$10*Inputs!N82)/-1</f>
        <v>-201295.85240421354</v>
      </c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</row>
    <row r="43" spans="2:38" ht="13.5" customHeight="1" x14ac:dyDescent="0.35">
      <c r="B43" s="92" t="s">
        <v>289</v>
      </c>
      <c r="C43" s="8"/>
      <c r="D43" s="8"/>
      <c r="E43" s="8"/>
      <c r="F43" s="8"/>
      <c r="G43" s="8"/>
      <c r="H43" s="21">
        <f>(+H$10*Inputs!D85)/-1</f>
        <v>-10300</v>
      </c>
      <c r="I43" s="21">
        <f>(+I$10*Inputs!E85)/-1</f>
        <v>-10730.846777084678</v>
      </c>
      <c r="J43" s="21">
        <f>(+J$10*Inputs!F85)/-1</f>
        <v>-11052.77218039722</v>
      </c>
      <c r="K43" s="21">
        <f>(+K$10*Inputs!G85)/-1</f>
        <v>-11384.355345809137</v>
      </c>
      <c r="L43" s="21">
        <f>(+L$10*Inputs!H85)/-1</f>
        <v>-11725.886006183411</v>
      </c>
      <c r="M43" s="21">
        <f>(+M$10*Inputs!I85)/-1</f>
        <v>-12077.662586368913</v>
      </c>
      <c r="N43" s="21">
        <f>(+N$10*Inputs!J85)/-1</f>
        <v>-12439.992463959981</v>
      </c>
      <c r="O43" s="21">
        <f>(+O$10*Inputs!K85)/-1</f>
        <v>-12813.19223787878</v>
      </c>
      <c r="P43" s="21">
        <f>(+P$10*Inputs!L85)/-1</f>
        <v>-13197.588005015145</v>
      </c>
      <c r="Q43" s="21">
        <f>(+Q$10*Inputs!M85)/-1</f>
        <v>-13593.515645165597</v>
      </c>
      <c r="R43" s="103">
        <f>(+R$10*Inputs!N85)/-1</f>
        <v>-14001.321114520566</v>
      </c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</row>
    <row r="44" spans="2:38" ht="13.5" customHeight="1" x14ac:dyDescent="0.35">
      <c r="B44" s="92" t="s">
        <v>290</v>
      </c>
      <c r="C44" s="8"/>
      <c r="D44" s="8"/>
      <c r="E44" s="8"/>
      <c r="F44" s="8"/>
      <c r="G44" s="8"/>
      <c r="H44" s="21">
        <f>(+H$10*Inputs!D88)/-1</f>
        <v>-355773.66037735849</v>
      </c>
      <c r="I44" s="21">
        <f>(+I$10*Inputs!E88)/-1</f>
        <v>-370655.21698113211</v>
      </c>
      <c r="J44" s="21">
        <f>(+J$10*Inputs!F88)/-1</f>
        <v>-381774.8734905661</v>
      </c>
      <c r="K44" s="21">
        <f>(+K$10*Inputs!G88)/-1</f>
        <v>-393228.11969528307</v>
      </c>
      <c r="L44" s="21">
        <f>(+L$10*Inputs!H88)/-1</f>
        <v>-405024.96328614163</v>
      </c>
      <c r="M44" s="21">
        <f>(+M$10*Inputs!I88)/-1</f>
        <v>-417175.71218472585</v>
      </c>
      <c r="N44" s="21">
        <f>(+N$10*Inputs!J88)/-1</f>
        <v>-429690.98355026764</v>
      </c>
      <c r="O44" s="21">
        <f>(+O$10*Inputs!K88)/-1</f>
        <v>-442581.71305677568</v>
      </c>
      <c r="P44" s="21">
        <f>(+P$10*Inputs!L88)/-1</f>
        <v>-455859.16444847896</v>
      </c>
      <c r="Q44" s="21">
        <f>(+Q$10*Inputs!M88)/-1</f>
        <v>-469534.93938193336</v>
      </c>
      <c r="R44" s="103">
        <f>(+R$10*Inputs!N88)/-1</f>
        <v>-483620.98756339133</v>
      </c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</row>
    <row r="45" spans="2:38" ht="13.5" customHeight="1" x14ac:dyDescent="0.35">
      <c r="B45" s="92" t="s">
        <v>291</v>
      </c>
      <c r="C45" s="8"/>
      <c r="D45" s="8"/>
      <c r="E45" s="8"/>
      <c r="F45" s="8"/>
      <c r="G45" s="8"/>
      <c r="H45" s="21">
        <f>(+H$10*Inputs!D91)/-1</f>
        <v>-205113.81132075473</v>
      </c>
      <c r="I45" s="21">
        <f>(+I$10*Inputs!E91)/-1</f>
        <v>-212068.25471698112</v>
      </c>
      <c r="J45" s="21">
        <f>(+J$10*Inputs!F91)/-1</f>
        <v>-218430.30235849056</v>
      </c>
      <c r="K45" s="21">
        <f>(+K$10*Inputs!G91)/-1</f>
        <v>-224983.21142924528</v>
      </c>
      <c r="L45" s="21">
        <f>(+L$10*Inputs!H91)/-1</f>
        <v>-231732.70777212264</v>
      </c>
      <c r="M45" s="21">
        <f>(+M$10*Inputs!I91)/-1</f>
        <v>-238684.68900528632</v>
      </c>
      <c r="N45" s="21">
        <f>(+N$10*Inputs!J91)/-1</f>
        <v>-245845.22967544492</v>
      </c>
      <c r="O45" s="21">
        <f>(+O$10*Inputs!K91)/-1</f>
        <v>-253220.5865657083</v>
      </c>
      <c r="P45" s="21">
        <f>(+P$10*Inputs!L91)/-1</f>
        <v>-260817.20416267955</v>
      </c>
      <c r="Q45" s="21">
        <f>(+Q$10*Inputs!M91)/-1</f>
        <v>-268641.7202875599</v>
      </c>
      <c r="R45" s="103">
        <f>(+R$10*Inputs!N91)/-1</f>
        <v>-276700.9718961867</v>
      </c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</row>
    <row r="46" spans="2:38" ht="13.5" customHeight="1" x14ac:dyDescent="0.35">
      <c r="B46" s="46" t="s">
        <v>292</v>
      </c>
      <c r="C46" s="47"/>
      <c r="D46" s="47"/>
      <c r="E46" s="47"/>
      <c r="F46" s="47"/>
      <c r="G46" s="305"/>
      <c r="H46" s="305">
        <f t="shared" ref="H46:R46" si="8">SUM(H41:H45)</f>
        <v>-1334842.1037735848</v>
      </c>
      <c r="I46" s="305">
        <f t="shared" si="8"/>
        <v>-1383879.2335695378</v>
      </c>
      <c r="J46" s="305">
        <f t="shared" si="8"/>
        <v>-1425395.6105766238</v>
      </c>
      <c r="K46" s="305">
        <f t="shared" si="8"/>
        <v>-1468157.4788939226</v>
      </c>
      <c r="L46" s="305">
        <f t="shared" si="8"/>
        <v>-1512202.2032607405</v>
      </c>
      <c r="M46" s="305">
        <f t="shared" si="8"/>
        <v>-1557568.2693585628</v>
      </c>
      <c r="N46" s="305">
        <f t="shared" si="8"/>
        <v>-1604295.3174393196</v>
      </c>
      <c r="O46" s="305">
        <f t="shared" si="8"/>
        <v>-1652424.176962499</v>
      </c>
      <c r="P46" s="305">
        <f t="shared" si="8"/>
        <v>-1701996.9022713741</v>
      </c>
      <c r="Q46" s="305">
        <f t="shared" si="8"/>
        <v>-1753056.8093395154</v>
      </c>
      <c r="R46" s="306">
        <f t="shared" si="8"/>
        <v>-1805648.5136197007</v>
      </c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</row>
    <row r="47" spans="2:38" ht="13.5" customHeight="1" x14ac:dyDescent="0.35">
      <c r="B47" s="92"/>
      <c r="C47" s="8"/>
      <c r="D47" s="8"/>
      <c r="E47" s="8"/>
      <c r="F47" s="8"/>
      <c r="G47" s="313"/>
      <c r="H47" s="313"/>
      <c r="I47" s="21"/>
      <c r="J47" s="21"/>
      <c r="K47" s="21"/>
      <c r="L47" s="21"/>
      <c r="M47" s="21"/>
      <c r="N47" s="21"/>
      <c r="O47" s="21"/>
      <c r="P47" s="21"/>
      <c r="Q47" s="21"/>
      <c r="R47" s="103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</row>
    <row r="48" spans="2:38" ht="13.5" customHeight="1" x14ac:dyDescent="0.35">
      <c r="B48" s="92"/>
      <c r="C48" s="8"/>
      <c r="D48" s="8"/>
      <c r="E48" s="8"/>
      <c r="F48" s="8"/>
      <c r="G48" s="313"/>
      <c r="H48" s="313"/>
      <c r="I48" s="21"/>
      <c r="J48" s="21"/>
      <c r="K48" s="21"/>
      <c r="L48" s="21"/>
      <c r="M48" s="21"/>
      <c r="N48" s="21"/>
      <c r="O48" s="21"/>
      <c r="P48" s="21"/>
      <c r="Q48" s="21"/>
      <c r="R48" s="103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</row>
    <row r="49" spans="2:38" ht="13.5" customHeight="1" x14ac:dyDescent="0.35">
      <c r="B49" s="46" t="s">
        <v>293</v>
      </c>
      <c r="C49" s="47"/>
      <c r="D49" s="47"/>
      <c r="E49" s="47"/>
      <c r="F49" s="47"/>
      <c r="G49" s="305"/>
      <c r="H49" s="305">
        <f t="shared" ref="H49:R49" si="9">+H38+H46</f>
        <v>-291580.85377358482</v>
      </c>
      <c r="I49" s="305">
        <f t="shared" si="9"/>
        <v>-131775.87881953781</v>
      </c>
      <c r="J49" s="305">
        <f t="shared" si="9"/>
        <v>26432.943939001067</v>
      </c>
      <c r="K49" s="305">
        <f t="shared" si="9"/>
        <v>33966.576068249065</v>
      </c>
      <c r="L49" s="305">
        <f t="shared" si="9"/>
        <v>41962.139694761951</v>
      </c>
      <c r="M49" s="305">
        <f t="shared" si="9"/>
        <v>50441.75005212659</v>
      </c>
      <c r="N49" s="305">
        <f t="shared" si="9"/>
        <v>59428.47483604122</v>
      </c>
      <c r="O49" s="305">
        <f t="shared" si="9"/>
        <v>68946.372893354623</v>
      </c>
      <c r="P49" s="305">
        <f t="shared" si="9"/>
        <v>79020.534425816266</v>
      </c>
      <c r="Q49" s="305">
        <f t="shared" si="9"/>
        <v>89677.122766349465</v>
      </c>
      <c r="R49" s="306">
        <f t="shared" si="9"/>
        <v>100943.41778787016</v>
      </c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</row>
    <row r="50" spans="2:38" ht="13.5" customHeight="1" x14ac:dyDescent="0.35">
      <c r="B50" s="92"/>
      <c r="C50" s="8"/>
      <c r="D50" s="8"/>
      <c r="E50" s="8"/>
      <c r="F50" s="8"/>
      <c r="G50" s="313"/>
      <c r="H50" s="313"/>
      <c r="I50" s="21"/>
      <c r="J50" s="21"/>
      <c r="K50" s="21"/>
      <c r="L50" s="21"/>
      <c r="M50" s="21"/>
      <c r="N50" s="21"/>
      <c r="O50" s="21"/>
      <c r="P50" s="21"/>
      <c r="Q50" s="21"/>
      <c r="R50" s="103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</row>
    <row r="51" spans="2:38" ht="13.5" customHeight="1" x14ac:dyDescent="0.35">
      <c r="B51" s="92" t="s">
        <v>224</v>
      </c>
      <c r="C51" s="8"/>
      <c r="D51" s="8"/>
      <c r="E51" s="8"/>
      <c r="F51" s="8"/>
      <c r="G51" s="313"/>
      <c r="H51" s="308">
        <f>(+H30*Inputs!D94)/-1</f>
        <v>-81205.2</v>
      </c>
      <c r="I51" s="308">
        <f>(+I30*Inputs!E94)/-1</f>
        <v>-97473.158019999988</v>
      </c>
      <c r="J51" s="308">
        <f>(+J30*Inputs!F94)/-1</f>
        <v>-113035.29059224999</v>
      </c>
      <c r="K51" s="308">
        <f>(+K30*Inputs!G94)/-1</f>
        <v>-116965.60081490374</v>
      </c>
      <c r="L51" s="308">
        <f>(+L30*Inputs!H94)/-1</f>
        <v>-121032.69414690809</v>
      </c>
      <c r="M51" s="308">
        <f>(+M30*Inputs!I94)/-1</f>
        <v>-125241.33466463709</v>
      </c>
      <c r="N51" s="308">
        <f>(+N30*Inputs!J94)/-1</f>
        <v>-129596.45248716425</v>
      </c>
      <c r="O51" s="308">
        <f>(+O30*Inputs!K94)/-1</f>
        <v>-134103.14956675775</v>
      </c>
      <c r="P51" s="308">
        <f>(+P30*Inputs!L94)/-1</f>
        <v>-138766.70568141335</v>
      </c>
      <c r="Q51" s="308">
        <f>(+Q30*Inputs!M94)/-1</f>
        <v>-143592.58463647647</v>
      </c>
      <c r="R51" s="119">
        <f>(+R30*Inputs!N94)/-1</f>
        <v>-148586.44068265316</v>
      </c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</row>
    <row r="52" spans="2:38" ht="13.5" customHeight="1" x14ac:dyDescent="0.35">
      <c r="B52" s="92"/>
      <c r="C52" s="8"/>
      <c r="D52" s="8"/>
      <c r="E52" s="8"/>
      <c r="F52" s="8"/>
      <c r="G52" s="313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119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</row>
    <row r="53" spans="2:38" ht="13.5" customHeight="1" x14ac:dyDescent="0.35">
      <c r="B53" s="46" t="s">
        <v>294</v>
      </c>
      <c r="C53" s="47"/>
      <c r="D53" s="47"/>
      <c r="E53" s="47"/>
      <c r="F53" s="47"/>
      <c r="G53" s="305"/>
      <c r="H53" s="305">
        <f t="shared" ref="H53:R53" si="10">+H49+H51</f>
        <v>-372786.05377358483</v>
      </c>
      <c r="I53" s="305">
        <f t="shared" si="10"/>
        <v>-229249.03683953779</v>
      </c>
      <c r="J53" s="305">
        <f t="shared" si="10"/>
        <v>-86602.346653248926</v>
      </c>
      <c r="K53" s="305">
        <f t="shared" si="10"/>
        <v>-82999.024746654672</v>
      </c>
      <c r="L53" s="305">
        <f t="shared" si="10"/>
        <v>-79070.554452146142</v>
      </c>
      <c r="M53" s="305">
        <f t="shared" si="10"/>
        <v>-74799.584612510502</v>
      </c>
      <c r="N53" s="305">
        <f t="shared" si="10"/>
        <v>-70167.97765112303</v>
      </c>
      <c r="O53" s="305">
        <f t="shared" si="10"/>
        <v>-65156.776673403132</v>
      </c>
      <c r="P53" s="305">
        <f t="shared" si="10"/>
        <v>-59746.171255597088</v>
      </c>
      <c r="Q53" s="305">
        <f t="shared" si="10"/>
        <v>-53915.461870127008</v>
      </c>
      <c r="R53" s="306">
        <f t="shared" si="10"/>
        <v>-47643.022894783004</v>
      </c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</row>
    <row r="54" spans="2:38" ht="13.5" customHeight="1" x14ac:dyDescent="0.35">
      <c r="B54" s="117"/>
      <c r="C54" s="17"/>
      <c r="D54" s="17"/>
      <c r="E54" s="17"/>
      <c r="F54" s="17"/>
      <c r="G54" s="309"/>
      <c r="H54" s="309"/>
      <c r="I54" s="309"/>
      <c r="J54" s="309"/>
      <c r="K54" s="309"/>
      <c r="L54" s="309"/>
      <c r="M54" s="309"/>
      <c r="N54" s="309"/>
      <c r="O54" s="309"/>
      <c r="P54" s="309"/>
      <c r="Q54" s="309"/>
      <c r="R54" s="310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</row>
    <row r="55" spans="2:38" ht="13.5" customHeight="1" x14ac:dyDescent="0.35">
      <c r="B55" s="302" t="s">
        <v>295</v>
      </c>
      <c r="C55" s="8"/>
      <c r="D55" s="8"/>
      <c r="E55" s="8"/>
      <c r="F55" s="8"/>
      <c r="G55" s="313"/>
      <c r="H55" s="313"/>
      <c r="I55" s="21"/>
      <c r="J55" s="21"/>
      <c r="K55" s="21"/>
      <c r="L55" s="21"/>
      <c r="M55" s="21"/>
      <c r="N55" s="21"/>
      <c r="O55" s="21"/>
      <c r="P55" s="21"/>
      <c r="Q55" s="21"/>
      <c r="R55" s="103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</row>
    <row r="56" spans="2:38" ht="13.5" customHeight="1" x14ac:dyDescent="0.35">
      <c r="B56" s="307" t="s">
        <v>225</v>
      </c>
      <c r="C56" s="128"/>
      <c r="D56" s="128"/>
      <c r="E56" s="128"/>
      <c r="F56" s="128"/>
      <c r="G56" s="8"/>
      <c r="H56" s="308">
        <f>(+Inputs!D96)*$E$147</f>
        <v>-160000</v>
      </c>
      <c r="I56" s="308">
        <f>(+Inputs!E96)*$E$147</f>
        <v>-164800</v>
      </c>
      <c r="J56" s="308">
        <f>(+Inputs!F96)*$E$147</f>
        <v>-169744</v>
      </c>
      <c r="K56" s="308">
        <f>(+Inputs!G96)*$E$147</f>
        <v>-174836.32</v>
      </c>
      <c r="L56" s="308">
        <f>(+Inputs!H96)*$E$147</f>
        <v>-180081.40960000001</v>
      </c>
      <c r="M56" s="308">
        <f>(+Inputs!I96)*$E$147</f>
        <v>-185483.851888</v>
      </c>
      <c r="N56" s="308">
        <f>(+Inputs!J96)*$E$147</f>
        <v>-191048.36744464</v>
      </c>
      <c r="O56" s="308">
        <f>(+Inputs!K96)*$E$147</f>
        <v>-196779.8184679792</v>
      </c>
      <c r="P56" s="308">
        <f>(+Inputs!L96)*$E$147</f>
        <v>-202683.21302201858</v>
      </c>
      <c r="Q56" s="308">
        <f>(+Inputs!M96)*$E$147</f>
        <v>-208763.70941267913</v>
      </c>
      <c r="R56" s="314">
        <f>(+Inputs!N96)*$E$147</f>
        <v>-215026.62069505951</v>
      </c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</row>
    <row r="57" spans="2:38" ht="13.5" customHeight="1" x14ac:dyDescent="0.35">
      <c r="B57" s="92" t="s">
        <v>226</v>
      </c>
      <c r="C57" s="8"/>
      <c r="D57" s="8"/>
      <c r="E57" s="8"/>
      <c r="F57" s="8"/>
      <c r="G57" s="8"/>
      <c r="H57" s="308">
        <f>(+Inputs!D99)*$E$147</f>
        <v>-13500</v>
      </c>
      <c r="I57" s="308">
        <f>(+Inputs!E99)*$E$147</f>
        <v>-13905</v>
      </c>
      <c r="J57" s="308">
        <f>(+Inputs!F99)*$E$147</f>
        <v>-14322.15</v>
      </c>
      <c r="K57" s="308">
        <f>(+Inputs!G99)*$E$147</f>
        <v>-14751.8145</v>
      </c>
      <c r="L57" s="308">
        <f>(+Inputs!H99)*$E$147</f>
        <v>-15194.368935</v>
      </c>
      <c r="M57" s="308">
        <f>(+Inputs!I99)*$E$147</f>
        <v>-15650.20000305</v>
      </c>
      <c r="N57" s="308">
        <f>(+Inputs!J99)*$E$147</f>
        <v>-16119.7060031415</v>
      </c>
      <c r="O57" s="308">
        <f>(+Inputs!K99)*$E$147</f>
        <v>-16603.297183235747</v>
      </c>
      <c r="P57" s="308">
        <f>(+Inputs!L99)*$E$147</f>
        <v>-17101.396098732821</v>
      </c>
      <c r="Q57" s="308">
        <f>(+Inputs!M99)*$E$147</f>
        <v>-17614.437981694806</v>
      </c>
      <c r="R57" s="314">
        <f>(+Inputs!N99)*$E$147</f>
        <v>-18142.87112114565</v>
      </c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</row>
    <row r="58" spans="2:38" ht="13.5" customHeight="1" x14ac:dyDescent="0.35">
      <c r="B58" s="92" t="s">
        <v>227</v>
      </c>
      <c r="C58" s="8"/>
      <c r="D58" s="8"/>
      <c r="E58" s="8"/>
      <c r="F58" s="8"/>
      <c r="G58" s="8"/>
      <c r="H58" s="308">
        <f>(+Inputs!D102)*$E$147</f>
        <v>-70000</v>
      </c>
      <c r="I58" s="308">
        <f>(+Inputs!E102)*$E$147</f>
        <v>-72800</v>
      </c>
      <c r="J58" s="308">
        <f>(+Inputs!F102)*$E$147</f>
        <v>-75712</v>
      </c>
      <c r="K58" s="308">
        <f>(+Inputs!G102)*$E$147</f>
        <v>-78740.479999999996</v>
      </c>
      <c r="L58" s="308">
        <f>(+Inputs!H102)*$E$147</f>
        <v>-81890.099199999997</v>
      </c>
      <c r="M58" s="308">
        <f>(+Inputs!I102)*$E$147</f>
        <v>-85165.703167999993</v>
      </c>
      <c r="N58" s="308">
        <f>(+Inputs!J102)*$E$147</f>
        <v>-88572.331294719988</v>
      </c>
      <c r="O58" s="308">
        <f>(+Inputs!K102)*$E$147</f>
        <v>-92115.224546508791</v>
      </c>
      <c r="P58" s="308">
        <f>(+Inputs!L102)*$E$147</f>
        <v>-95799.833528369141</v>
      </c>
      <c r="Q58" s="308">
        <f>(+Inputs!M102)*$E$147</f>
        <v>-99631.826869503915</v>
      </c>
      <c r="R58" s="314">
        <f>(+Inputs!N102)*$E$147</f>
        <v>-103617.09994428407</v>
      </c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</row>
    <row r="59" spans="2:38" ht="13.5" customHeight="1" x14ac:dyDescent="0.35">
      <c r="B59" s="46" t="s">
        <v>296</v>
      </c>
      <c r="C59" s="47"/>
      <c r="D59" s="47"/>
      <c r="E59" s="47"/>
      <c r="F59" s="47"/>
      <c r="G59" s="305"/>
      <c r="H59" s="305">
        <f t="shared" ref="H59:R59" si="11">SUM(H56:H58)</f>
        <v>-243500</v>
      </c>
      <c r="I59" s="305">
        <f t="shared" si="11"/>
        <v>-251505</v>
      </c>
      <c r="J59" s="305">
        <f t="shared" si="11"/>
        <v>-259778.15</v>
      </c>
      <c r="K59" s="305">
        <f t="shared" si="11"/>
        <v>-268328.61450000003</v>
      </c>
      <c r="L59" s="305">
        <f t="shared" si="11"/>
        <v>-277165.87773499999</v>
      </c>
      <c r="M59" s="305">
        <f t="shared" si="11"/>
        <v>-286299.75505904999</v>
      </c>
      <c r="N59" s="305">
        <f t="shared" si="11"/>
        <v>-295740.4047425015</v>
      </c>
      <c r="O59" s="305">
        <f t="shared" si="11"/>
        <v>-305498.34019772377</v>
      </c>
      <c r="P59" s="305">
        <f t="shared" si="11"/>
        <v>-315584.44264912058</v>
      </c>
      <c r="Q59" s="305">
        <f t="shared" si="11"/>
        <v>-326009.97426387784</v>
      </c>
      <c r="R59" s="306">
        <f t="shared" si="11"/>
        <v>-336786.59176048922</v>
      </c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</row>
    <row r="60" spans="2:38" ht="13.5" customHeight="1" x14ac:dyDescent="0.35">
      <c r="B60" s="92"/>
      <c r="C60" s="8"/>
      <c r="D60" s="8"/>
      <c r="E60" s="8"/>
      <c r="F60" s="8"/>
      <c r="G60" s="313"/>
      <c r="H60" s="313"/>
      <c r="I60" s="21"/>
      <c r="J60" s="21"/>
      <c r="K60" s="21"/>
      <c r="L60" s="21"/>
      <c r="M60" s="21"/>
      <c r="N60" s="21"/>
      <c r="O60" s="21"/>
      <c r="P60" s="21"/>
      <c r="Q60" s="21"/>
      <c r="R60" s="103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</row>
    <row r="61" spans="2:38" ht="13.5" customHeight="1" x14ac:dyDescent="0.35">
      <c r="B61" s="315" t="s">
        <v>297</v>
      </c>
      <c r="C61" s="316"/>
      <c r="D61" s="316"/>
      <c r="E61" s="316"/>
      <c r="F61" s="316"/>
      <c r="G61" s="317"/>
      <c r="H61" s="317">
        <f t="shared" ref="H61:R61" si="12">+H53+H59</f>
        <v>-616286.05377358478</v>
      </c>
      <c r="I61" s="317">
        <f t="shared" si="12"/>
        <v>-480754.03683953779</v>
      </c>
      <c r="J61" s="317">
        <f t="shared" si="12"/>
        <v>-346380.49665324891</v>
      </c>
      <c r="K61" s="317">
        <f t="shared" si="12"/>
        <v>-351327.6392466547</v>
      </c>
      <c r="L61" s="317">
        <f t="shared" si="12"/>
        <v>-356236.43218714616</v>
      </c>
      <c r="M61" s="317">
        <f t="shared" si="12"/>
        <v>-361099.3396715605</v>
      </c>
      <c r="N61" s="317">
        <f t="shared" si="12"/>
        <v>-365908.38239362452</v>
      </c>
      <c r="O61" s="317">
        <f t="shared" si="12"/>
        <v>-370655.11687112693</v>
      </c>
      <c r="P61" s="317">
        <f t="shared" si="12"/>
        <v>-375330.61390471767</v>
      </c>
      <c r="Q61" s="317">
        <f t="shared" si="12"/>
        <v>-379925.43613400485</v>
      </c>
      <c r="R61" s="318">
        <f t="shared" si="12"/>
        <v>-384429.61465527222</v>
      </c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</row>
    <row r="62" spans="2:38" ht="13.5" customHeight="1" x14ac:dyDescent="0.35">
      <c r="B62" s="92" t="s">
        <v>185</v>
      </c>
      <c r="C62" s="17"/>
      <c r="D62" s="17"/>
      <c r="E62" s="17"/>
      <c r="F62" s="17"/>
      <c r="G62" s="309"/>
      <c r="H62" s="45">
        <f t="shared" ref="H62:R62" si="13">+H61/H30</f>
        <v>-0.30356974862377523</v>
      </c>
      <c r="I62" s="45">
        <f t="shared" si="13"/>
        <v>-0.19728673887467335</v>
      </c>
      <c r="J62" s="45">
        <f t="shared" si="13"/>
        <v>-0.1225742844870424</v>
      </c>
      <c r="K62" s="45">
        <f t="shared" si="13"/>
        <v>-0.12014733795199335</v>
      </c>
      <c r="L62" s="45">
        <f t="shared" si="13"/>
        <v>-0.11773229859850941</v>
      </c>
      <c r="M62" s="45">
        <f t="shared" si="13"/>
        <v>-0.1153291253685497</v>
      </c>
      <c r="N62" s="45">
        <f t="shared" si="13"/>
        <v>-0.11293777734536847</v>
      </c>
      <c r="O62" s="45">
        <f t="shared" si="13"/>
        <v>-0.11055821375369308</v>
      </c>
      <c r="P62" s="45">
        <f t="shared" si="13"/>
        <v>-0.10819039395989354</v>
      </c>
      <c r="Q62" s="45">
        <f t="shared" si="13"/>
        <v>-0.10583427747215111</v>
      </c>
      <c r="R62" s="131">
        <f t="shared" si="13"/>
        <v>-0.10348982394061822</v>
      </c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</row>
    <row r="63" spans="2:38" ht="13.5" customHeight="1" x14ac:dyDescent="0.35">
      <c r="B63" s="92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93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</row>
    <row r="64" spans="2:38" ht="13.5" customHeight="1" x14ac:dyDescent="0.35">
      <c r="B64" s="92" t="s">
        <v>298</v>
      </c>
      <c r="C64" s="8"/>
      <c r="D64" s="8"/>
      <c r="E64" s="8"/>
      <c r="F64" s="8"/>
      <c r="G64" s="8"/>
      <c r="H64" s="246" t="str">
        <f>+IF(H$8=Inputs!$L$18,Inputs!$L$20, " ")</f>
        <v xml:space="preserve"> </v>
      </c>
      <c r="I64" s="246" t="str">
        <f>+IF(I$8=Inputs!$L$18,Inputs!$L$20, " ")</f>
        <v xml:space="preserve"> </v>
      </c>
      <c r="J64" s="246" t="str">
        <f>+IF(J$8=Inputs!$L$18,Inputs!$L$20, " ")</f>
        <v xml:space="preserve"> </v>
      </c>
      <c r="K64" s="246" t="str">
        <f>+IF(K$8=Inputs!$L$18,Inputs!$L$20, " ")</f>
        <v xml:space="preserve"> </v>
      </c>
      <c r="L64" s="246" t="str">
        <f>+IF(L$8=Inputs!$L$18,Inputs!$L$20, " ")</f>
        <v xml:space="preserve"> </v>
      </c>
      <c r="M64" s="246" t="str">
        <f>+IF(M$8=Inputs!$L$18,Inputs!$L$20, " ")</f>
        <v xml:space="preserve"> </v>
      </c>
      <c r="N64" s="246">
        <f>+IF(N$8=Inputs!$L$18,Inputs!$L$20, " ")</f>
        <v>8.5000000000000006E-2</v>
      </c>
      <c r="O64" s="246" t="str">
        <f>+IF(O$8=Inputs!$L$18,Inputs!$L$20, " ")</f>
        <v xml:space="preserve"> </v>
      </c>
      <c r="P64" s="246" t="str">
        <f>+IF(P$8=Inputs!$L$18,Inputs!$L$20, " ")</f>
        <v xml:space="preserve"> </v>
      </c>
      <c r="Q64" s="246" t="str">
        <f>+IF(Q$8=Inputs!$L$18,Inputs!$L$20, " ")</f>
        <v xml:space="preserve"> </v>
      </c>
      <c r="R64" s="319" t="str">
        <f>+IF(R$8=Inputs!$L$18,Inputs!$L$20, " ")</f>
        <v xml:space="preserve"> </v>
      </c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</row>
    <row r="65" spans="2:38" ht="13.5" customHeight="1" x14ac:dyDescent="0.35">
      <c r="B65" s="92" t="s">
        <v>299</v>
      </c>
      <c r="C65" s="8"/>
      <c r="D65" s="8"/>
      <c r="E65" s="8"/>
      <c r="F65" s="8"/>
      <c r="G65" s="8"/>
      <c r="H65" s="21" t="str">
        <f>+IF(H$8=Inputs!$L$18,Inputs!$L$21, " ")</f>
        <v xml:space="preserve"> </v>
      </c>
      <c r="I65" s="21" t="str">
        <f>+IF(I$8=Inputs!$L$18,Inputs!$L$21, " ")</f>
        <v xml:space="preserve"> </v>
      </c>
      <c r="J65" s="21" t="str">
        <f>+IF(J$8=Inputs!$L$18,Inputs!$L$21, " ")</f>
        <v xml:space="preserve"> </v>
      </c>
      <c r="K65" s="21" t="str">
        <f>+IF(K$8=Inputs!$L$18,Inputs!$L$21, " ")</f>
        <v xml:space="preserve"> </v>
      </c>
      <c r="L65" s="21" t="str">
        <f>+IF(L$8=Inputs!$L$18,Inputs!$L$21, " ")</f>
        <v xml:space="preserve"> </v>
      </c>
      <c r="M65" s="21" t="str">
        <f>+IF(M$8=Inputs!$L$18,Inputs!$L$21, " ")</f>
        <v xml:space="preserve"> </v>
      </c>
      <c r="N65" s="21">
        <f>+IF(N$8=Inputs!$L$18,Inputs!$L$21, " ")</f>
        <v>-4360648.4337779637</v>
      </c>
      <c r="O65" s="21" t="str">
        <f>+IF(O$8=Inputs!$L$18,Inputs!$L$21, " ")</f>
        <v xml:space="preserve"> </v>
      </c>
      <c r="P65" s="21" t="str">
        <f>+IF(P$8=Inputs!$L$18,Inputs!$L$21, " ")</f>
        <v xml:space="preserve"> </v>
      </c>
      <c r="Q65" s="21" t="str">
        <f>+IF(Q$8=Inputs!$L$18,Inputs!$L$21, " ")</f>
        <v xml:space="preserve"> </v>
      </c>
      <c r="R65" s="103" t="str">
        <f>+IF(R$8=Inputs!$L$18,Inputs!$L$21, " ")</f>
        <v xml:space="preserve"> </v>
      </c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</row>
    <row r="66" spans="2:38" ht="13.5" customHeight="1" x14ac:dyDescent="0.35">
      <c r="B66" s="92" t="s">
        <v>75</v>
      </c>
      <c r="C66" s="8"/>
      <c r="D66" s="8"/>
      <c r="E66" s="8"/>
      <c r="F66" s="8"/>
      <c r="G66" s="8"/>
      <c r="H66" s="21" t="str">
        <f>+IF(H$8=Inputs!$L$18,Inputs!$L$22, " ")</f>
        <v xml:space="preserve"> </v>
      </c>
      <c r="I66" s="21" t="str">
        <f>+IF(I$8=Inputs!$L$18,Inputs!$L$22, " ")</f>
        <v xml:space="preserve"> </v>
      </c>
      <c r="J66" s="21" t="str">
        <f>+IF(J$8=Inputs!$L$18,Inputs!$L$22, " ")</f>
        <v xml:space="preserve"> </v>
      </c>
      <c r="K66" s="21" t="str">
        <f>+IF(K$8=Inputs!$L$18,Inputs!$L$22, " ")</f>
        <v xml:space="preserve"> </v>
      </c>
      <c r="L66" s="21" t="str">
        <f>+IF(L$8=Inputs!$L$18,Inputs!$L$22, " ")</f>
        <v xml:space="preserve"> </v>
      </c>
      <c r="M66" s="21" t="str">
        <f>+IF(M$8=Inputs!$L$18,Inputs!$L$22, " ")</f>
        <v xml:space="preserve"> </v>
      </c>
      <c r="N66" s="21">
        <f>+IF(N$8=Inputs!$L$18,Inputs!$L$22, " ")</f>
        <v>130819.45301333891</v>
      </c>
      <c r="O66" s="21" t="str">
        <f>+IF(O$8=Inputs!$L$18,Inputs!$L$22, " ")</f>
        <v xml:space="preserve"> </v>
      </c>
      <c r="P66" s="21" t="str">
        <f>+IF(P$8=Inputs!$L$18,Inputs!$L$22, " ")</f>
        <v xml:space="preserve"> </v>
      </c>
      <c r="Q66" s="21" t="str">
        <f>+IF(Q$8=Inputs!$L$18,Inputs!$L$22, " ")</f>
        <v xml:space="preserve"> </v>
      </c>
      <c r="R66" s="103" t="str">
        <f>+IF(R$8=Inputs!$L$18,Inputs!$L$22, " ")</f>
        <v xml:space="preserve"> </v>
      </c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</row>
    <row r="67" spans="2:38" ht="13.5" customHeight="1" x14ac:dyDescent="0.35">
      <c r="B67" s="315" t="s">
        <v>300</v>
      </c>
      <c r="C67" s="316"/>
      <c r="D67" s="316"/>
      <c r="E67" s="316"/>
      <c r="F67" s="316"/>
      <c r="G67" s="320"/>
      <c r="H67" s="320">
        <f t="shared" ref="H67:R67" si="14">+SUM(H65:H66)</f>
        <v>0</v>
      </c>
      <c r="I67" s="320">
        <f t="shared" si="14"/>
        <v>0</v>
      </c>
      <c r="J67" s="320">
        <f t="shared" si="14"/>
        <v>0</v>
      </c>
      <c r="K67" s="320">
        <f t="shared" si="14"/>
        <v>0</v>
      </c>
      <c r="L67" s="320">
        <f t="shared" si="14"/>
        <v>0</v>
      </c>
      <c r="M67" s="320">
        <f t="shared" si="14"/>
        <v>0</v>
      </c>
      <c r="N67" s="320">
        <f t="shared" si="14"/>
        <v>-4229828.9807646247</v>
      </c>
      <c r="O67" s="320">
        <f t="shared" si="14"/>
        <v>0</v>
      </c>
      <c r="P67" s="320">
        <f t="shared" si="14"/>
        <v>0</v>
      </c>
      <c r="Q67" s="320">
        <f t="shared" si="14"/>
        <v>0</v>
      </c>
      <c r="R67" s="321">
        <f t="shared" si="14"/>
        <v>0</v>
      </c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</row>
    <row r="68" spans="2:38" ht="13.5" customHeight="1" x14ac:dyDescent="0.35">
      <c r="B68" s="92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93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</row>
    <row r="69" spans="2:38" ht="13.5" customHeight="1" x14ac:dyDescent="0.35">
      <c r="B69" s="315" t="s">
        <v>301</v>
      </c>
      <c r="C69" s="316"/>
      <c r="D69" s="316"/>
      <c r="E69" s="316"/>
      <c r="F69" s="316"/>
      <c r="G69" s="442">
        <f>IF(G$8&lt;=Inputs!$L$18,+G67+G24+G61, 0)</f>
        <v>-9224375</v>
      </c>
      <c r="H69" s="317">
        <f>IF(H$8&lt;=Inputs!$L$18,+H67+H24+H61, 0)</f>
        <v>-576286.05377358478</v>
      </c>
      <c r="I69" s="317">
        <f>IF(I$8&lt;=Inputs!$L$18,+I67+I24+I61, 0)</f>
        <v>-480754.03683953779</v>
      </c>
      <c r="J69" s="317">
        <f>IF(J$8&lt;=Inputs!$L$18,+J67+J24+J61, 0)</f>
        <v>-346380.49665324891</v>
      </c>
      <c r="K69" s="317">
        <f>IF(K$8&lt;=Inputs!$L$18,+K67+K24+K61, 0)</f>
        <v>-351327.6392466547</v>
      </c>
      <c r="L69" s="317">
        <f>IF(L$8&lt;=Inputs!$L$18,+L67+L24+L61, 0)</f>
        <v>-356236.43218714616</v>
      </c>
      <c r="M69" s="317">
        <f>IF(M$8&lt;=Inputs!$L$18,+M67+M24+M61, 0)</f>
        <v>-361099.3396715605</v>
      </c>
      <c r="N69" s="317">
        <f>IF(N$8&lt;=Inputs!$L$18,+N67+N24+N61, 0)</f>
        <v>-4595737.3631582493</v>
      </c>
      <c r="O69" s="317">
        <f>IF(O$8&lt;=Inputs!$L$18,+O67+O24+O61, 0)</f>
        <v>0</v>
      </c>
      <c r="P69" s="317">
        <f>IF(P$8&lt;=Inputs!$L$18,+P67+P24+P61, 0)</f>
        <v>0</v>
      </c>
      <c r="Q69" s="317">
        <f>IF(Q$8&lt;=Inputs!$L$18,+Q67+Q24+Q61, 0)</f>
        <v>0</v>
      </c>
      <c r="R69" s="317">
        <f>IF(R$8&lt;=Inputs!$L$18,+R67+R24+R61, 0)</f>
        <v>0</v>
      </c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</row>
    <row r="70" spans="2:38" ht="13.5" customHeight="1" x14ac:dyDescent="0.35">
      <c r="B70" s="315" t="s">
        <v>302</v>
      </c>
      <c r="C70" s="316"/>
      <c r="D70" s="316"/>
      <c r="E70" s="316"/>
      <c r="F70" s="316"/>
      <c r="G70" s="442">
        <f>SUMIFS(G69:R69,G69:R69,"&lt;0")</f>
        <v>-16292196.361529984</v>
      </c>
      <c r="H70" s="317">
        <f t="shared" ref="H70:R70" si="15">IF(H69&lt;0,0,H69)</f>
        <v>0</v>
      </c>
      <c r="I70" s="317">
        <f t="shared" si="15"/>
        <v>0</v>
      </c>
      <c r="J70" s="317">
        <f t="shared" si="15"/>
        <v>0</v>
      </c>
      <c r="K70" s="317">
        <f t="shared" si="15"/>
        <v>0</v>
      </c>
      <c r="L70" s="317">
        <f t="shared" si="15"/>
        <v>0</v>
      </c>
      <c r="M70" s="317">
        <f t="shared" si="15"/>
        <v>0</v>
      </c>
      <c r="N70" s="317">
        <f t="shared" si="15"/>
        <v>0</v>
      </c>
      <c r="O70" s="317">
        <f t="shared" si="15"/>
        <v>0</v>
      </c>
      <c r="P70" s="317">
        <f t="shared" si="15"/>
        <v>0</v>
      </c>
      <c r="Q70" s="317">
        <f t="shared" si="15"/>
        <v>0</v>
      </c>
      <c r="R70" s="317">
        <f t="shared" si="15"/>
        <v>0</v>
      </c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</row>
    <row r="71" spans="2:38" ht="13.5" customHeight="1" x14ac:dyDescent="0.35">
      <c r="B71" s="92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93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</row>
    <row r="72" spans="2:38" ht="13.5" customHeight="1" x14ac:dyDescent="0.35">
      <c r="B72" s="322" t="s">
        <v>303</v>
      </c>
      <c r="C72" s="323"/>
      <c r="D72" s="323"/>
      <c r="E72" s="324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93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</row>
    <row r="73" spans="2:38" ht="13.5" customHeight="1" x14ac:dyDescent="0.35">
      <c r="B73" s="325" t="s">
        <v>252</v>
      </c>
      <c r="C73" s="266"/>
      <c r="D73" s="266"/>
      <c r="E73" s="443">
        <f>-SUMIF(G70:R70,"&lt;0")</f>
        <v>16292196.361529984</v>
      </c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93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</row>
    <row r="74" spans="2:38" ht="13.5" customHeight="1" x14ac:dyDescent="0.35">
      <c r="B74" s="325" t="s">
        <v>253</v>
      </c>
      <c r="C74" s="266"/>
      <c r="D74" s="266"/>
      <c r="E74" s="444" t="e">
        <f>+IRR(G70:R70)</f>
        <v>#NUM!</v>
      </c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93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</row>
    <row r="75" spans="2:38" ht="13.5" customHeight="1" x14ac:dyDescent="0.35">
      <c r="B75" s="325" t="s">
        <v>254</v>
      </c>
      <c r="C75" s="266"/>
      <c r="D75" s="266"/>
      <c r="E75" s="326">
        <f>+SUM(G70:R70)</f>
        <v>-16292196.361529984</v>
      </c>
      <c r="F75" s="8"/>
      <c r="G75" s="8"/>
      <c r="H75" s="8"/>
      <c r="I75" s="8"/>
      <c r="J75" s="8"/>
      <c r="K75" s="8"/>
      <c r="L75" s="8"/>
      <c r="M75" s="8"/>
      <c r="N75" s="327"/>
      <c r="O75" s="327"/>
      <c r="P75" s="327"/>
      <c r="Q75" s="8"/>
      <c r="R75" s="93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</row>
    <row r="76" spans="2:38" ht="13.5" customHeight="1" x14ac:dyDescent="0.35">
      <c r="B76" s="328" t="s">
        <v>255</v>
      </c>
      <c r="C76" s="329"/>
      <c r="D76" s="329"/>
      <c r="E76" s="330">
        <f>SUMIF(G70:R70,"&gt;0")/-SUMIF(G70:R70,"&lt;0")</f>
        <v>0</v>
      </c>
      <c r="F76" s="8"/>
      <c r="G76" s="8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93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</row>
    <row r="77" spans="2:38" ht="13.5" customHeight="1" x14ac:dyDescent="0.35">
      <c r="B77" s="92"/>
      <c r="C77" s="8"/>
      <c r="D77" s="8"/>
      <c r="E77" s="8"/>
      <c r="F77" s="8"/>
      <c r="G77" s="8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93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</row>
    <row r="78" spans="2:38" ht="13.5" customHeight="1" x14ac:dyDescent="0.35">
      <c r="B78" s="117" t="s">
        <v>304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93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</row>
    <row r="79" spans="2:38" ht="13.5" customHeight="1" x14ac:dyDescent="0.35">
      <c r="B79" s="331"/>
      <c r="C79" s="128"/>
      <c r="D79" s="128"/>
      <c r="E79" s="128"/>
      <c r="F79" s="12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93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</row>
    <row r="80" spans="2:38" ht="13.5" customHeight="1" x14ac:dyDescent="0.35">
      <c r="B80" s="117" t="s">
        <v>305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93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</row>
    <row r="81" spans="2:38" ht="13.5" customHeight="1" x14ac:dyDescent="0.35">
      <c r="B81" s="92" t="s">
        <v>306</v>
      </c>
      <c r="C81" s="8"/>
      <c r="D81" s="8"/>
      <c r="E81" s="8"/>
      <c r="F81" s="8"/>
      <c r="G81" s="332">
        <v>0</v>
      </c>
      <c r="H81" s="21">
        <f t="shared" ref="H81:R81" si="16">+G85</f>
        <v>0</v>
      </c>
      <c r="I81" s="21">
        <f t="shared" si="16"/>
        <v>0</v>
      </c>
      <c r="J81" s="21">
        <f t="shared" si="16"/>
        <v>0</v>
      </c>
      <c r="K81" s="21">
        <f t="shared" si="16"/>
        <v>-2686623.1236508889</v>
      </c>
      <c r="L81" s="21">
        <f t="shared" si="16"/>
        <v>-2686623.1236508889</v>
      </c>
      <c r="M81" s="21">
        <f t="shared" si="16"/>
        <v>-2686623.1236508889</v>
      </c>
      <c r="N81" s="21">
        <f t="shared" si="16"/>
        <v>-2686623.1236508889</v>
      </c>
      <c r="O81" s="21">
        <f t="shared" si="16"/>
        <v>0</v>
      </c>
      <c r="P81" s="21">
        <f t="shared" si="16"/>
        <v>0</v>
      </c>
      <c r="Q81" s="21">
        <f t="shared" si="16"/>
        <v>0</v>
      </c>
      <c r="R81" s="103">
        <f t="shared" si="16"/>
        <v>0</v>
      </c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</row>
    <row r="82" spans="2:38" ht="13.5" customHeight="1" x14ac:dyDescent="0.35">
      <c r="B82" s="92" t="s">
        <v>307</v>
      </c>
      <c r="C82" s="8"/>
      <c r="D82" s="8"/>
      <c r="E82" s="8"/>
      <c r="F82" s="8"/>
      <c r="G82" s="313">
        <f>+IF(G$8=Inputs!$L$30,Inputs!$L$38,0)</f>
        <v>0</v>
      </c>
      <c r="H82" s="21">
        <f>+IF(H$8=Inputs!$L$30,Inputs!$L$38,0)</f>
        <v>0</v>
      </c>
      <c r="I82" s="21">
        <f>+IF(I$8=Inputs!$L$30,Inputs!$L$38,0)</f>
        <v>0</v>
      </c>
      <c r="J82" s="21">
        <f>+IF(J$8=Inputs!$L$30,Inputs!$L$38,0)</f>
        <v>-2686623.1236508889</v>
      </c>
      <c r="K82" s="21">
        <f>+IF(K$8=Inputs!$L$30,Inputs!$L$38,0)</f>
        <v>0</v>
      </c>
      <c r="L82" s="21">
        <f>+IF(L$8=Inputs!$L$30,Inputs!$L$38,0)</f>
        <v>0</v>
      </c>
      <c r="M82" s="21">
        <f>+IF(M$8=Inputs!$L$30,Inputs!$L$38,0)</f>
        <v>0</v>
      </c>
      <c r="N82" s="21">
        <f>+IF(N$8=Inputs!$L$30,Inputs!$L$38,0)</f>
        <v>0</v>
      </c>
      <c r="O82" s="21">
        <f>+IF(O$8=Inputs!$L$30,Inputs!$L$38,0)</f>
        <v>0</v>
      </c>
      <c r="P82" s="21">
        <f>+IF(P$8=Inputs!$L$30,Inputs!$L$38,0)</f>
        <v>0</v>
      </c>
      <c r="Q82" s="21">
        <f>+IF(Q$8=Inputs!$L$30,Inputs!$L$38,0)</f>
        <v>0</v>
      </c>
      <c r="R82" s="103">
        <f>+IF(R$8=Inputs!$L$30,Inputs!$L$38,0)</f>
        <v>0</v>
      </c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</row>
    <row r="83" spans="2:38" ht="13.5" customHeight="1" x14ac:dyDescent="0.35">
      <c r="B83" s="92" t="s">
        <v>308</v>
      </c>
      <c r="C83" s="8"/>
      <c r="D83" s="8"/>
      <c r="E83" s="8"/>
      <c r="F83" s="8"/>
      <c r="G83" s="21">
        <f>IF(Inputs!$K$40=0,IF(G81&gt;0,-Inputs!$L$42-G88,0),0)</f>
        <v>0</v>
      </c>
      <c r="H83" s="21">
        <f>IF(Inputs!$K$40=0,IF(H81&gt;0,-Inputs!$L$42-H88,0),0)</f>
        <v>0</v>
      </c>
      <c r="I83" s="21">
        <f>IF(Inputs!$K$40=0,IF(I81&gt;0,-Inputs!$L$42-I88,0),0)</f>
        <v>0</v>
      </c>
      <c r="J83" s="21">
        <f>IF(Inputs!$K$40=0,IF(J81&gt;0,-Inputs!$L$42-J88,0),0)</f>
        <v>0</v>
      </c>
      <c r="K83" s="21">
        <f>IF(Inputs!$K$40=0,IF(K81&gt;0,-Inputs!$L$42-K88,0),0)</f>
        <v>0</v>
      </c>
      <c r="L83" s="21">
        <f>IF(Inputs!$K$40=0,IF(L81&gt;0,-Inputs!$L$42-L88,0),0)</f>
        <v>0</v>
      </c>
      <c r="M83" s="21">
        <f>IF(Inputs!$K$40=0,IF(M81&gt;0,-Inputs!$L$42-M88,0),0)</f>
        <v>0</v>
      </c>
      <c r="N83" s="21">
        <f>IF(Inputs!$K$40=0,IF(N81&gt;0,-Inputs!$L$42-N88,0),0)</f>
        <v>0</v>
      </c>
      <c r="O83" s="21">
        <f>IF(Inputs!$K$40=0,IF(O81&gt;0,-Inputs!$L$42-O88,0),0)</f>
        <v>0</v>
      </c>
      <c r="P83" s="21">
        <f>IF(Inputs!$K$40=0,IF(P81&gt;0,-Inputs!$L$42-P88,0),0)</f>
        <v>0</v>
      </c>
      <c r="Q83" s="21">
        <f>IF(Inputs!$K$40=0,IF(Q81&gt;0,-Inputs!$L$42-Q88,0),0)</f>
        <v>0</v>
      </c>
      <c r="R83" s="103">
        <f>IF(Inputs!$K$40=0,IF(R81&gt;0,-Inputs!$L$42-R88,0),0)</f>
        <v>0</v>
      </c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</row>
    <row r="84" spans="2:38" ht="13.5" customHeight="1" x14ac:dyDescent="0.35">
      <c r="B84" s="92" t="s">
        <v>309</v>
      </c>
      <c r="C84" s="8"/>
      <c r="D84" s="8"/>
      <c r="E84" s="8"/>
      <c r="F84" s="8"/>
      <c r="G84" s="21">
        <f>+IF(G8=Inputs!$L$18,-'Annual Cash Flows'!G81-'Annual Cash Flows'!G83,0)</f>
        <v>0</v>
      </c>
      <c r="H84" s="21">
        <f>+IF(H8=Inputs!$L$18,-'Annual Cash Flows'!H81-'Annual Cash Flows'!H83,0)</f>
        <v>0</v>
      </c>
      <c r="I84" s="21">
        <f>+IF(I8=Inputs!$L$18,-'Annual Cash Flows'!I81-'Annual Cash Flows'!I83,0)</f>
        <v>0</v>
      </c>
      <c r="J84" s="21">
        <f>+IF(J8=Inputs!$L$18,-'Annual Cash Flows'!J81-'Annual Cash Flows'!J83,0)</f>
        <v>0</v>
      </c>
      <c r="K84" s="21">
        <f>+IF(K8=Inputs!$L$18,-'Annual Cash Flows'!K81-'Annual Cash Flows'!K83,0)</f>
        <v>0</v>
      </c>
      <c r="L84" s="21">
        <f>+IF(L8=Inputs!$L$18,-'Annual Cash Flows'!L81-'Annual Cash Flows'!L83,0)</f>
        <v>0</v>
      </c>
      <c r="M84" s="21">
        <f>+IF(M8=Inputs!$L$18,-'Annual Cash Flows'!M81-'Annual Cash Flows'!M83,0)</f>
        <v>0</v>
      </c>
      <c r="N84" s="21">
        <f>+IF(N8=Inputs!$L$18,-'Annual Cash Flows'!N81-'Annual Cash Flows'!N83,0)</f>
        <v>2686623.1236508889</v>
      </c>
      <c r="O84" s="21">
        <f>+IF(O8=Inputs!$L$18,-'Annual Cash Flows'!O81-'Annual Cash Flows'!O83,0)</f>
        <v>0</v>
      </c>
      <c r="P84" s="21">
        <f>+IF(P8=Inputs!$L$18,-'Annual Cash Flows'!P81-'Annual Cash Flows'!P83,0)</f>
        <v>0</v>
      </c>
      <c r="Q84" s="21">
        <f>+IF(Q8=Inputs!$L$18,-'Annual Cash Flows'!Q81-'Annual Cash Flows'!Q83,0)</f>
        <v>0</v>
      </c>
      <c r="R84" s="103">
        <f>+IF(R8=Inputs!$L$18,-'Annual Cash Flows'!R81-'Annual Cash Flows'!R83,0)</f>
        <v>0</v>
      </c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</row>
    <row r="85" spans="2:38" ht="13.5" customHeight="1" x14ac:dyDescent="0.35">
      <c r="B85" s="46" t="s">
        <v>310</v>
      </c>
      <c r="C85" s="47"/>
      <c r="D85" s="47"/>
      <c r="E85" s="47"/>
      <c r="F85" s="47"/>
      <c r="G85" s="333">
        <f t="shared" ref="G85:R85" si="17">SUM(G81:G84)</f>
        <v>0</v>
      </c>
      <c r="H85" s="333">
        <f t="shared" si="17"/>
        <v>0</v>
      </c>
      <c r="I85" s="333">
        <f t="shared" si="17"/>
        <v>0</v>
      </c>
      <c r="J85" s="333">
        <f t="shared" si="17"/>
        <v>-2686623.1236508889</v>
      </c>
      <c r="K85" s="333">
        <f t="shared" si="17"/>
        <v>-2686623.1236508889</v>
      </c>
      <c r="L85" s="333">
        <f t="shared" si="17"/>
        <v>-2686623.1236508889</v>
      </c>
      <c r="M85" s="333">
        <f t="shared" si="17"/>
        <v>-2686623.1236508889</v>
      </c>
      <c r="N85" s="333">
        <f t="shared" si="17"/>
        <v>0</v>
      </c>
      <c r="O85" s="333">
        <f t="shared" si="17"/>
        <v>0</v>
      </c>
      <c r="P85" s="333">
        <f t="shared" si="17"/>
        <v>0</v>
      </c>
      <c r="Q85" s="333">
        <f t="shared" si="17"/>
        <v>0</v>
      </c>
      <c r="R85" s="48">
        <f t="shared" si="17"/>
        <v>0</v>
      </c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</row>
    <row r="86" spans="2:38" ht="13.5" customHeight="1" x14ac:dyDescent="0.35">
      <c r="B86" s="92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93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</row>
    <row r="87" spans="2:38" ht="13.5" customHeight="1" x14ac:dyDescent="0.35">
      <c r="B87" s="92" t="s">
        <v>311</v>
      </c>
      <c r="C87" s="8"/>
      <c r="D87" s="8"/>
      <c r="E87" s="8"/>
      <c r="F87" s="8"/>
      <c r="G87" s="21" t="str">
        <f>+IF('Annual Cash Flows'!G8=Inputs!$L$30,-Inputs!$L$39," ")</f>
        <v xml:space="preserve"> </v>
      </c>
      <c r="H87" s="21">
        <f>+IF('Annual Cash Flows'!H8=Inputs!$L$30,-Inputs!$L$39,0)</f>
        <v>0</v>
      </c>
      <c r="I87" s="21">
        <f>+IF('Annual Cash Flows'!I8=Inputs!$L$30,-Inputs!$L$39,0)</f>
        <v>0</v>
      </c>
      <c r="J87" s="21">
        <f>+IF('Annual Cash Flows'!J8=Inputs!$L$30,-Inputs!$L$39,0)</f>
        <v>26866.231236508891</v>
      </c>
      <c r="K87" s="21">
        <f>+IF('Annual Cash Flows'!K8=Inputs!$L$30,-Inputs!$L$39,0)</f>
        <v>0</v>
      </c>
      <c r="L87" s="21">
        <f>+IF('Annual Cash Flows'!L8=Inputs!$L$30,-Inputs!$L$39,0)</f>
        <v>0</v>
      </c>
      <c r="M87" s="21">
        <f>+IF('Annual Cash Flows'!M8=Inputs!$L$30,-Inputs!$L$39,0)</f>
        <v>0</v>
      </c>
      <c r="N87" s="21">
        <f>+IF('Annual Cash Flows'!N8=Inputs!$L$30,-Inputs!$L$39,0)</f>
        <v>0</v>
      </c>
      <c r="O87" s="21">
        <f>+IF('Annual Cash Flows'!O8=Inputs!$L$30,-Inputs!$L$39,0)</f>
        <v>0</v>
      </c>
      <c r="P87" s="21">
        <f>+IF('Annual Cash Flows'!P8=Inputs!$L$30,-Inputs!$L$39,0)</f>
        <v>0</v>
      </c>
      <c r="Q87" s="21">
        <f>+IF('Annual Cash Flows'!Q8=Inputs!$L$30,-Inputs!$L$39,0)</f>
        <v>0</v>
      </c>
      <c r="R87" s="103">
        <f>+IF('Annual Cash Flows'!R8=Inputs!$L$30,-Inputs!$L$39,0)</f>
        <v>0</v>
      </c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</row>
    <row r="88" spans="2:38" ht="13.5" customHeight="1" x14ac:dyDescent="0.35">
      <c r="B88" s="92" t="s">
        <v>312</v>
      </c>
      <c r="C88" s="8"/>
      <c r="D88" s="8"/>
      <c r="E88" s="8"/>
      <c r="F88" s="246">
        <f>+Inputs!L37</f>
        <v>7.0000000000000007E-2</v>
      </c>
      <c r="G88" s="21"/>
      <c r="H88" s="21">
        <f t="shared" ref="H88:R88" si="18">+H81*$F$88*-1</f>
        <v>0</v>
      </c>
      <c r="I88" s="21">
        <f t="shared" si="18"/>
        <v>0</v>
      </c>
      <c r="J88" s="21">
        <f t="shared" si="18"/>
        <v>0</v>
      </c>
      <c r="K88" s="21">
        <f t="shared" si="18"/>
        <v>188063.61865556226</v>
      </c>
      <c r="L88" s="21">
        <f t="shared" si="18"/>
        <v>188063.61865556226</v>
      </c>
      <c r="M88" s="21">
        <f t="shared" si="18"/>
        <v>188063.61865556226</v>
      </c>
      <c r="N88" s="21">
        <f t="shared" si="18"/>
        <v>188063.61865556226</v>
      </c>
      <c r="O88" s="21">
        <f t="shared" si="18"/>
        <v>0</v>
      </c>
      <c r="P88" s="21">
        <f t="shared" si="18"/>
        <v>0</v>
      </c>
      <c r="Q88" s="21">
        <f t="shared" si="18"/>
        <v>0</v>
      </c>
      <c r="R88" s="103">
        <f t="shared" si="18"/>
        <v>0</v>
      </c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</row>
    <row r="89" spans="2:38" ht="13.5" customHeight="1" x14ac:dyDescent="0.35">
      <c r="B89" s="117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93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</row>
    <row r="90" spans="2:38" ht="13.5" customHeight="1" x14ac:dyDescent="0.35">
      <c r="B90" s="117" t="s">
        <v>313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93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</row>
    <row r="91" spans="2:38" ht="13.5" customHeight="1" x14ac:dyDescent="0.35">
      <c r="B91" s="92" t="s">
        <v>306</v>
      </c>
      <c r="C91" s="8"/>
      <c r="D91" s="8"/>
      <c r="E91" s="8"/>
      <c r="F91" s="8"/>
      <c r="G91" s="334">
        <v>0</v>
      </c>
      <c r="H91" s="21">
        <f t="shared" ref="H91:R91" si="19">+G96</f>
        <v>5687500</v>
      </c>
      <c r="I91" s="21">
        <f t="shared" si="19"/>
        <v>5599495.9467968168</v>
      </c>
      <c r="J91" s="21">
        <f t="shared" si="19"/>
        <v>5505199.6037896061</v>
      </c>
      <c r="K91" s="21">
        <f t="shared" si="19"/>
        <v>8117650.427144778</v>
      </c>
      <c r="L91" s="21">
        <f t="shared" si="19"/>
        <v>8203402.1294824462</v>
      </c>
      <c r="M91" s="21">
        <f t="shared" si="19"/>
        <v>8295285.0785372583</v>
      </c>
      <c r="N91" s="21">
        <f t="shared" si="19"/>
        <v>8393737.6584494896</v>
      </c>
      <c r="O91" s="21">
        <f t="shared" si="19"/>
        <v>0</v>
      </c>
      <c r="P91" s="21">
        <f t="shared" si="19"/>
        <v>0</v>
      </c>
      <c r="Q91" s="21">
        <f t="shared" si="19"/>
        <v>0</v>
      </c>
      <c r="R91" s="103">
        <f t="shared" si="19"/>
        <v>0</v>
      </c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</row>
    <row r="92" spans="2:38" ht="13.5" customHeight="1" x14ac:dyDescent="0.35">
      <c r="B92" s="92" t="s">
        <v>307</v>
      </c>
      <c r="C92" s="8"/>
      <c r="D92" s="8"/>
      <c r="E92" s="8"/>
      <c r="F92" s="8"/>
      <c r="G92" s="21">
        <f>+Inputs!$F$35</f>
        <v>5687500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103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</row>
    <row r="93" spans="2:38" ht="13.5" customHeight="1" x14ac:dyDescent="0.35">
      <c r="B93" s="92" t="s">
        <v>308</v>
      </c>
      <c r="C93" s="8"/>
      <c r="D93" s="8"/>
      <c r="E93" s="8"/>
      <c r="F93" s="8"/>
      <c r="G93" s="8"/>
      <c r="H93" s="21">
        <f>IF(Inputs!$E$37=0,IF(H91&gt;0,-Inputs!$F$39-H99,0),0)</f>
        <v>-88004.053203183052</v>
      </c>
      <c r="I93" s="21">
        <f>IF(Inputs!$E$37=0,IF(I91&gt;0,-Inputs!$F$39-I99,0),0)</f>
        <v>-94296.343007210642</v>
      </c>
      <c r="J93" s="21">
        <f>IF(Inputs!$E$37=0,IF(J91&gt;0,-Inputs!$F$39-J99,0),0)</f>
        <v>-101038.53153222619</v>
      </c>
      <c r="K93" s="21">
        <f>IF(Inputs!$E$37=0,IF(K91&gt;0,-Inputs!$F$39-K99,0),0)</f>
        <v>85751.702337668627</v>
      </c>
      <c r="L93" s="21">
        <f>IF(Inputs!$E$37=0,IF(L91&gt;0,-Inputs!$F$39-L99,0),0)</f>
        <v>91882.949054811848</v>
      </c>
      <c r="M93" s="21">
        <f>IF(Inputs!$E$37=0,IF(M91&gt;0,-Inputs!$F$39-M99,0),0)</f>
        <v>98452.579912230955</v>
      </c>
      <c r="N93" s="21">
        <f>IF(Inputs!$E$37=0,IF(N91&gt;0,-Inputs!$F$39-N99,0),0)</f>
        <v>105491.9393759555</v>
      </c>
      <c r="O93" s="21">
        <f>IF(Inputs!$E$37=0,IF(O91&gt;0,-Inputs!$F$39-O99,0),0)</f>
        <v>0</v>
      </c>
      <c r="P93" s="21">
        <f>IF(Inputs!$E$37=0,IF(P91&gt;0,-Inputs!$F$39-P99,0),0)</f>
        <v>0</v>
      </c>
      <c r="Q93" s="21">
        <f>IF(Inputs!$E$37=0,IF(Q91&gt;0,-Inputs!$F$39-Q99,0),0)</f>
        <v>0</v>
      </c>
      <c r="R93" s="103">
        <f>IF(Inputs!$E$37=0,IF(R91&gt;0,-Inputs!$F$39-R99,0),0)</f>
        <v>0</v>
      </c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</row>
    <row r="94" spans="2:38" ht="13.5" customHeight="1" x14ac:dyDescent="0.35">
      <c r="B94" s="92" t="s">
        <v>309</v>
      </c>
      <c r="C94" s="8"/>
      <c r="D94" s="8"/>
      <c r="E94" s="8"/>
      <c r="F94" s="8"/>
      <c r="G94" s="8"/>
      <c r="H94" s="21">
        <f>+IF(H8=Inputs!$L$18,-'Annual Cash Flows'!H91-'Annual Cash Flows'!H93,0)</f>
        <v>0</v>
      </c>
      <c r="I94" s="21">
        <f>+IF(I8=Inputs!$L$18,-'Annual Cash Flows'!I91-'Annual Cash Flows'!I93,0)</f>
        <v>0</v>
      </c>
      <c r="J94" s="21">
        <f>+IF(J8=Inputs!$L$18,-'Annual Cash Flows'!J91-'Annual Cash Flows'!J93,0)</f>
        <v>0</v>
      </c>
      <c r="K94" s="21">
        <f>+IF(K8=Inputs!$L$18,-'Annual Cash Flows'!K91-'Annual Cash Flows'!K93,0)</f>
        <v>0</v>
      </c>
      <c r="L94" s="21">
        <f>+IF(L8=Inputs!$L$18,-'Annual Cash Flows'!L91-'Annual Cash Flows'!L93,0)</f>
        <v>0</v>
      </c>
      <c r="M94" s="21">
        <f>+IF(M8=Inputs!$L$18,-'Annual Cash Flows'!M91-'Annual Cash Flows'!M93,0)</f>
        <v>0</v>
      </c>
      <c r="N94" s="21">
        <f>+IF(N8=Inputs!$L$18,-'Annual Cash Flows'!N91-'Annual Cash Flows'!N93,0)</f>
        <v>-8499229.5978254452</v>
      </c>
      <c r="O94" s="21">
        <f>+IF(O8=Inputs!$L$18,-'Annual Cash Flows'!O91-'Annual Cash Flows'!O93,0)</f>
        <v>0</v>
      </c>
      <c r="P94" s="21">
        <f>+IF(P8=Inputs!$L$18,-'Annual Cash Flows'!P91-'Annual Cash Flows'!P93,0)</f>
        <v>0</v>
      </c>
      <c r="Q94" s="21">
        <f>+IF(Q8=Inputs!$L$18,-'Annual Cash Flows'!Q91-'Annual Cash Flows'!Q93,0)</f>
        <v>0</v>
      </c>
      <c r="R94" s="103">
        <f>+IF(R8=Inputs!$L$18,-'Annual Cash Flows'!R91-'Annual Cash Flows'!R93,0)</f>
        <v>0</v>
      </c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</row>
    <row r="95" spans="2:38" ht="13.5" customHeight="1" x14ac:dyDescent="0.35">
      <c r="B95" s="92" t="s">
        <v>314</v>
      </c>
      <c r="C95" s="8"/>
      <c r="D95" s="8"/>
      <c r="E95" s="8"/>
      <c r="F95" s="8"/>
      <c r="G95" s="8"/>
      <c r="H95" s="21">
        <f t="shared" ref="H95:R95" si="20">+-MIN(SUM(H91:H93),H82-H87)</f>
        <v>0</v>
      </c>
      <c r="I95" s="21">
        <f t="shared" si="20"/>
        <v>0</v>
      </c>
      <c r="J95" s="21">
        <f t="shared" si="20"/>
        <v>2713489.354887398</v>
      </c>
      <c r="K95" s="21">
        <f t="shared" si="20"/>
        <v>0</v>
      </c>
      <c r="L95" s="21">
        <f t="shared" si="20"/>
        <v>0</v>
      </c>
      <c r="M95" s="21">
        <f t="shared" si="20"/>
        <v>0</v>
      </c>
      <c r="N95" s="21">
        <f t="shared" si="20"/>
        <v>0</v>
      </c>
      <c r="O95" s="21">
        <f t="shared" si="20"/>
        <v>0</v>
      </c>
      <c r="P95" s="21">
        <f t="shared" si="20"/>
        <v>0</v>
      </c>
      <c r="Q95" s="21">
        <f t="shared" si="20"/>
        <v>0</v>
      </c>
      <c r="R95" s="103">
        <f t="shared" si="20"/>
        <v>0</v>
      </c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</row>
    <row r="96" spans="2:38" ht="13.5" customHeight="1" x14ac:dyDescent="0.35">
      <c r="B96" s="46" t="s">
        <v>310</v>
      </c>
      <c r="C96" s="47"/>
      <c r="D96" s="47"/>
      <c r="E96" s="47"/>
      <c r="F96" s="47"/>
      <c r="G96" s="333">
        <f t="shared" ref="G96:R96" si="21">SUM(G91:G95)</f>
        <v>5687500</v>
      </c>
      <c r="H96" s="333">
        <f t="shared" si="21"/>
        <v>5599495.9467968168</v>
      </c>
      <c r="I96" s="333">
        <f t="shared" si="21"/>
        <v>5505199.6037896061</v>
      </c>
      <c r="J96" s="333">
        <f t="shared" si="21"/>
        <v>8117650.427144778</v>
      </c>
      <c r="K96" s="333">
        <f t="shared" si="21"/>
        <v>8203402.1294824462</v>
      </c>
      <c r="L96" s="333">
        <f t="shared" si="21"/>
        <v>8295285.0785372583</v>
      </c>
      <c r="M96" s="333">
        <f t="shared" si="21"/>
        <v>8393737.6584494896</v>
      </c>
      <c r="N96" s="333">
        <f t="shared" si="21"/>
        <v>0</v>
      </c>
      <c r="O96" s="333">
        <f t="shared" si="21"/>
        <v>0</v>
      </c>
      <c r="P96" s="333">
        <f t="shared" si="21"/>
        <v>0</v>
      </c>
      <c r="Q96" s="333">
        <f t="shared" si="21"/>
        <v>0</v>
      </c>
      <c r="R96" s="48">
        <f t="shared" si="21"/>
        <v>0</v>
      </c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</row>
    <row r="97" spans="2:38" ht="13.5" customHeight="1" x14ac:dyDescent="0.35">
      <c r="B97" s="92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93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</row>
    <row r="98" spans="2:38" ht="13.5" customHeight="1" x14ac:dyDescent="0.35">
      <c r="B98" s="92" t="s">
        <v>311</v>
      </c>
      <c r="C98" s="8"/>
      <c r="D98" s="8"/>
      <c r="E98" s="8"/>
      <c r="F98" s="8"/>
      <c r="G98" s="21">
        <f>-Inputs!F36</f>
        <v>-56875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93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</row>
    <row r="99" spans="2:38" ht="13.5" customHeight="1" x14ac:dyDescent="0.35">
      <c r="B99" s="92" t="s">
        <v>312</v>
      </c>
      <c r="C99" s="8"/>
      <c r="D99" s="8"/>
      <c r="E99" s="8"/>
      <c r="F99" s="246">
        <f>+Inputs!F34</f>
        <v>7.1499999999999994E-2</v>
      </c>
      <c r="G99" s="21"/>
      <c r="H99" s="21">
        <f t="shared" ref="H99:R99" si="22">+H91*$F$99*-1</f>
        <v>-406656.24999999994</v>
      </c>
      <c r="I99" s="21">
        <f t="shared" si="22"/>
        <v>-400363.96019597235</v>
      </c>
      <c r="J99" s="21">
        <f t="shared" si="22"/>
        <v>-393621.7716709568</v>
      </c>
      <c r="K99" s="21">
        <f t="shared" si="22"/>
        <v>-580412.00554085162</v>
      </c>
      <c r="L99" s="21">
        <f t="shared" si="22"/>
        <v>-586543.25225799484</v>
      </c>
      <c r="M99" s="21">
        <f t="shared" si="22"/>
        <v>-593112.88311541395</v>
      </c>
      <c r="N99" s="21">
        <f t="shared" si="22"/>
        <v>-600152.24257913849</v>
      </c>
      <c r="O99" s="21">
        <f t="shared" si="22"/>
        <v>0</v>
      </c>
      <c r="P99" s="21">
        <f t="shared" si="22"/>
        <v>0</v>
      </c>
      <c r="Q99" s="21">
        <f t="shared" si="22"/>
        <v>0</v>
      </c>
      <c r="R99" s="103">
        <f t="shared" si="22"/>
        <v>0</v>
      </c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</row>
    <row r="100" spans="2:38" ht="13.5" customHeight="1" x14ac:dyDescent="0.35">
      <c r="B100" s="299" t="str">
        <f>+Inputs!B19</f>
        <v>Interest Reserve</v>
      </c>
      <c r="C100" s="8"/>
      <c r="D100" s="8"/>
      <c r="E100" s="8"/>
      <c r="F100" s="8"/>
      <c r="G100" s="21">
        <f>-Inputs!F19</f>
        <v>0</v>
      </c>
      <c r="H100" s="21">
        <f>-G100</f>
        <v>0</v>
      </c>
      <c r="I100" s="21"/>
      <c r="J100" s="21"/>
      <c r="K100" s="21"/>
      <c r="L100" s="21"/>
      <c r="M100" s="21"/>
      <c r="N100" s="21"/>
      <c r="O100" s="21"/>
      <c r="P100" s="21"/>
      <c r="Q100" s="21"/>
      <c r="R100" s="103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</row>
    <row r="101" spans="2:38" ht="13.5" customHeight="1" x14ac:dyDescent="0.35">
      <c r="B101" s="92"/>
      <c r="C101" s="8"/>
      <c r="D101" s="8"/>
      <c r="E101" s="8"/>
      <c r="F101" s="8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103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</row>
    <row r="102" spans="2:38" ht="13.5" customHeight="1" x14ac:dyDescent="0.35">
      <c r="B102" s="117" t="s">
        <v>315</v>
      </c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93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</row>
    <row r="103" spans="2:38" ht="13.5" customHeight="1" x14ac:dyDescent="0.35">
      <c r="B103" s="92" t="s">
        <v>306</v>
      </c>
      <c r="C103" s="8"/>
      <c r="D103" s="8"/>
      <c r="E103" s="8"/>
      <c r="F103" s="8"/>
      <c r="G103" s="334">
        <v>0</v>
      </c>
      <c r="H103" s="21">
        <f t="shared" ref="H103:R103" si="23">+G108</f>
        <v>0</v>
      </c>
      <c r="I103" s="21">
        <f t="shared" si="23"/>
        <v>0</v>
      </c>
      <c r="J103" s="21">
        <f t="shared" si="23"/>
        <v>0</v>
      </c>
      <c r="K103" s="21">
        <f t="shared" si="23"/>
        <v>0</v>
      </c>
      <c r="L103" s="21">
        <f t="shared" si="23"/>
        <v>0</v>
      </c>
      <c r="M103" s="21">
        <f t="shared" si="23"/>
        <v>0</v>
      </c>
      <c r="N103" s="21">
        <f t="shared" si="23"/>
        <v>0</v>
      </c>
      <c r="O103" s="21">
        <f t="shared" si="23"/>
        <v>0</v>
      </c>
      <c r="P103" s="21">
        <f t="shared" si="23"/>
        <v>0</v>
      </c>
      <c r="Q103" s="21">
        <f t="shared" si="23"/>
        <v>0</v>
      </c>
      <c r="R103" s="103">
        <f t="shared" si="23"/>
        <v>0</v>
      </c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</row>
    <row r="104" spans="2:38" ht="13.5" customHeight="1" x14ac:dyDescent="0.35">
      <c r="B104" s="92" t="s">
        <v>307</v>
      </c>
      <c r="C104" s="8"/>
      <c r="D104" s="8"/>
      <c r="E104" s="8"/>
      <c r="F104" s="8"/>
      <c r="G104" s="21">
        <f>+Inputs!$F$44</f>
        <v>0</v>
      </c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103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</row>
    <row r="105" spans="2:38" ht="13.5" customHeight="1" x14ac:dyDescent="0.35">
      <c r="B105" s="92" t="s">
        <v>308</v>
      </c>
      <c r="C105" s="8"/>
      <c r="D105" s="8"/>
      <c r="E105" s="8"/>
      <c r="F105" s="8"/>
      <c r="G105" s="21"/>
      <c r="H105" s="21">
        <f>IF(Inputs!$E$46=0,-MIN(+Inputs!$F$48+'Annual Cash Flows'!H111,H103),0)</f>
        <v>0</v>
      </c>
      <c r="I105" s="21">
        <f>IF(Inputs!$E$46=0,-MIN(+Inputs!$F$48+'Annual Cash Flows'!I111,I103),0)</f>
        <v>0</v>
      </c>
      <c r="J105" s="21">
        <f>IF(Inputs!$E$46=0,-MIN(+Inputs!$F$48+'Annual Cash Flows'!J111,J103),0)</f>
        <v>0</v>
      </c>
      <c r="K105" s="21">
        <f>IF(Inputs!$E$46=0,-MIN(+Inputs!$F$48+'Annual Cash Flows'!K111,K103),0)</f>
        <v>0</v>
      </c>
      <c r="L105" s="21">
        <f>IF(Inputs!$E$46=0,-MIN(+Inputs!$F$48+'Annual Cash Flows'!L111,L103),0)</f>
        <v>0</v>
      </c>
      <c r="M105" s="21">
        <f>IF(Inputs!$E$46=0,-MIN(+Inputs!$F$48+'Annual Cash Flows'!M111,M103),0)</f>
        <v>0</v>
      </c>
      <c r="N105" s="21">
        <f>IF(Inputs!$E$46=0,-MIN(+Inputs!$F$48+'Annual Cash Flows'!N111,N103),0)</f>
        <v>0</v>
      </c>
      <c r="O105" s="21">
        <f>IF(Inputs!$E$46=0,-MIN(+Inputs!$F$48+'Annual Cash Flows'!O111,O103),0)</f>
        <v>0</v>
      </c>
      <c r="P105" s="21">
        <f>IF(Inputs!$E$46=0,-MIN(+Inputs!$F$48+'Annual Cash Flows'!P111,P103),0)</f>
        <v>0</v>
      </c>
      <c r="Q105" s="21">
        <f>IF(Inputs!$E$46=0,-MIN(+Inputs!$F$48+'Annual Cash Flows'!Q111,Q103),0)</f>
        <v>0</v>
      </c>
      <c r="R105" s="103">
        <f>IF(Inputs!$E$46=0,-MIN(+Inputs!$F$48+'Annual Cash Flows'!R111,R103),0)</f>
        <v>0</v>
      </c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</row>
    <row r="106" spans="2:38" ht="13.5" customHeight="1" x14ac:dyDescent="0.35">
      <c r="B106" s="92" t="s">
        <v>309</v>
      </c>
      <c r="C106" s="8"/>
      <c r="D106" s="8"/>
      <c r="E106" s="8"/>
      <c r="F106" s="8"/>
      <c r="G106" s="21"/>
      <c r="H106" s="21">
        <f>+IF(H8=Inputs!$L$18,-'Annual Cash Flows'!H103-'Annual Cash Flows'!H105,0)</f>
        <v>0</v>
      </c>
      <c r="I106" s="21">
        <f>+IF(I8=Inputs!$L$18,-'Annual Cash Flows'!I103-'Annual Cash Flows'!I105,0)</f>
        <v>0</v>
      </c>
      <c r="J106" s="21">
        <f>+IF(J8=Inputs!$L$18,-'Annual Cash Flows'!J103-'Annual Cash Flows'!J105,0)</f>
        <v>0</v>
      </c>
      <c r="K106" s="21">
        <f>+IF(K8=Inputs!$L$18,-'Annual Cash Flows'!K103-'Annual Cash Flows'!K105,0)</f>
        <v>0</v>
      </c>
      <c r="L106" s="21">
        <f>+IF(L8=Inputs!$L$18,-'Annual Cash Flows'!L103-'Annual Cash Flows'!L105,0)</f>
        <v>0</v>
      </c>
      <c r="M106" s="21">
        <f>+IF(M8=Inputs!$L$18,-'Annual Cash Flows'!M103-'Annual Cash Flows'!M105,0)</f>
        <v>0</v>
      </c>
      <c r="N106" s="21">
        <f>+IF(N8=Inputs!$L$18,-'Annual Cash Flows'!N103-'Annual Cash Flows'!N105,0)</f>
        <v>0</v>
      </c>
      <c r="O106" s="21">
        <f>+IF(O8=Inputs!$L$18,-'Annual Cash Flows'!O103-'Annual Cash Flows'!O105,0)</f>
        <v>0</v>
      </c>
      <c r="P106" s="21">
        <f>+IF(P8=Inputs!$L$18,-'Annual Cash Flows'!P103-'Annual Cash Flows'!P105,0)</f>
        <v>0</v>
      </c>
      <c r="Q106" s="21">
        <f>+IF(Q8=Inputs!$L$18,-'Annual Cash Flows'!Q103-'Annual Cash Flows'!Q105,0)</f>
        <v>0</v>
      </c>
      <c r="R106" s="103">
        <f>+IF(R8=Inputs!$L$18,-'Annual Cash Flows'!R103-'Annual Cash Flows'!R105,0)</f>
        <v>0</v>
      </c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</row>
    <row r="107" spans="2:38" ht="13.5" customHeight="1" x14ac:dyDescent="0.35">
      <c r="B107" s="92" t="s">
        <v>314</v>
      </c>
      <c r="C107" s="8"/>
      <c r="D107" s="8"/>
      <c r="E107" s="8"/>
      <c r="F107" s="8"/>
      <c r="G107" s="21"/>
      <c r="H107" s="21">
        <f>+-MIN(SUM(H103:H105),H82-H87+H95)*Inputs!$K$29</f>
        <v>0</v>
      </c>
      <c r="I107" s="21">
        <f>+-MIN(SUM(I103:I105),I82-I87+I95)*Inputs!$K$29</f>
        <v>0</v>
      </c>
      <c r="J107" s="21">
        <f>+-MIN(SUM(J103:J105),J82-J87+J95)*Inputs!$K$29</f>
        <v>0</v>
      </c>
      <c r="K107" s="21">
        <f>+-MIN(SUM(K103:K105),K82-K87+K95)*Inputs!$K$29</f>
        <v>0</v>
      </c>
      <c r="L107" s="21">
        <f>+-MIN(SUM(L103:L105),L82-L87+L95)*Inputs!$K$29</f>
        <v>0</v>
      </c>
      <c r="M107" s="21">
        <f>+-MIN(SUM(M103:M105),M82-M87+M95)*Inputs!$K$29</f>
        <v>0</v>
      </c>
      <c r="N107" s="21">
        <f>+-MIN(SUM(N103:N105),N82-N87+N95)*Inputs!$K$29</f>
        <v>0</v>
      </c>
      <c r="O107" s="21">
        <f>+-MIN(SUM(O103:O105),O82-O87+O95)*Inputs!$K$29</f>
        <v>0</v>
      </c>
      <c r="P107" s="21">
        <f>+-MIN(SUM(P103:P105),P82-P87+P95)*Inputs!$K$29</f>
        <v>0</v>
      </c>
      <c r="Q107" s="21">
        <f>+-MIN(SUM(Q103:Q105),Q82-Q87+Q95)*Inputs!$K$29</f>
        <v>0</v>
      </c>
      <c r="R107" s="103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</row>
    <row r="108" spans="2:38" ht="13.5" customHeight="1" x14ac:dyDescent="0.35">
      <c r="B108" s="46" t="s">
        <v>310</v>
      </c>
      <c r="C108" s="47"/>
      <c r="D108" s="47"/>
      <c r="E108" s="47"/>
      <c r="F108" s="47"/>
      <c r="G108" s="333">
        <f t="shared" ref="G108:R108" si="24">SUM(G103:G107)</f>
        <v>0</v>
      </c>
      <c r="H108" s="333">
        <f t="shared" si="24"/>
        <v>0</v>
      </c>
      <c r="I108" s="333">
        <f t="shared" si="24"/>
        <v>0</v>
      </c>
      <c r="J108" s="333">
        <f t="shared" si="24"/>
        <v>0</v>
      </c>
      <c r="K108" s="333">
        <f t="shared" si="24"/>
        <v>0</v>
      </c>
      <c r="L108" s="333">
        <f t="shared" si="24"/>
        <v>0</v>
      </c>
      <c r="M108" s="333">
        <f t="shared" si="24"/>
        <v>0</v>
      </c>
      <c r="N108" s="333">
        <f t="shared" si="24"/>
        <v>0</v>
      </c>
      <c r="O108" s="333">
        <f t="shared" si="24"/>
        <v>0</v>
      </c>
      <c r="P108" s="333">
        <f t="shared" si="24"/>
        <v>0</v>
      </c>
      <c r="Q108" s="333">
        <f t="shared" si="24"/>
        <v>0</v>
      </c>
      <c r="R108" s="48">
        <f t="shared" si="24"/>
        <v>0</v>
      </c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</row>
    <row r="109" spans="2:38" ht="13.5" customHeight="1" x14ac:dyDescent="0.35">
      <c r="B109" s="92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93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</row>
    <row r="110" spans="2:38" ht="13.5" customHeight="1" x14ac:dyDescent="0.35">
      <c r="B110" s="92" t="s">
        <v>311</v>
      </c>
      <c r="C110" s="8"/>
      <c r="D110" s="8"/>
      <c r="E110" s="8"/>
      <c r="F110" s="8"/>
      <c r="G110" s="21">
        <f>-Inputs!F45</f>
        <v>0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93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</row>
    <row r="111" spans="2:38" ht="13.5" customHeight="1" x14ac:dyDescent="0.35">
      <c r="B111" s="92" t="s">
        <v>312</v>
      </c>
      <c r="C111" s="8"/>
      <c r="D111" s="8"/>
      <c r="E111" s="8"/>
      <c r="F111" s="246">
        <f>+Inputs!F43</f>
        <v>0.13</v>
      </c>
      <c r="G111" s="21"/>
      <c r="H111" s="21">
        <f t="shared" ref="H111:R111" si="25">+H103*$F$111*-1</f>
        <v>0</v>
      </c>
      <c r="I111" s="21">
        <f t="shared" si="25"/>
        <v>0</v>
      </c>
      <c r="J111" s="21">
        <f t="shared" si="25"/>
        <v>0</v>
      </c>
      <c r="K111" s="21">
        <f t="shared" si="25"/>
        <v>0</v>
      </c>
      <c r="L111" s="21">
        <f t="shared" si="25"/>
        <v>0</v>
      </c>
      <c r="M111" s="21">
        <f t="shared" si="25"/>
        <v>0</v>
      </c>
      <c r="N111" s="21">
        <f t="shared" si="25"/>
        <v>0</v>
      </c>
      <c r="O111" s="21">
        <f t="shared" si="25"/>
        <v>0</v>
      </c>
      <c r="P111" s="21">
        <f t="shared" si="25"/>
        <v>0</v>
      </c>
      <c r="Q111" s="21">
        <f t="shared" si="25"/>
        <v>0</v>
      </c>
      <c r="R111" s="103">
        <f t="shared" si="25"/>
        <v>0</v>
      </c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</row>
    <row r="112" spans="2:38" ht="13.5" customHeight="1" x14ac:dyDescent="0.35">
      <c r="B112" s="92"/>
      <c r="C112" s="8"/>
      <c r="D112" s="8"/>
      <c r="E112" s="8"/>
      <c r="F112" s="8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103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</row>
    <row r="113" spans="1:38" ht="13.5" customHeight="1" x14ac:dyDescent="0.35">
      <c r="B113" s="315" t="s">
        <v>316</v>
      </c>
      <c r="C113" s="316"/>
      <c r="D113" s="316"/>
      <c r="E113" s="316"/>
      <c r="F113" s="316"/>
      <c r="G113" s="442">
        <f t="shared" ref="G113:R113" si="26">+SUM(G70,G92:G95,G98:G100,G104:G107,G110:G111,G82:G84,G87:G88)</f>
        <v>-10661571.361529984</v>
      </c>
      <c r="H113" s="317">
        <f t="shared" si="26"/>
        <v>-494660.30320318299</v>
      </c>
      <c r="I113" s="317">
        <f t="shared" si="26"/>
        <v>-494660.30320318299</v>
      </c>
      <c r="J113" s="317">
        <f t="shared" si="26"/>
        <v>-440927.84073016484</v>
      </c>
      <c r="K113" s="317">
        <f t="shared" si="26"/>
        <v>-306596.68454762071</v>
      </c>
      <c r="L113" s="317">
        <f t="shared" si="26"/>
        <v>-306596.68454762071</v>
      </c>
      <c r="M113" s="317">
        <f t="shared" si="26"/>
        <v>-306596.68454762071</v>
      </c>
      <c r="N113" s="317">
        <f t="shared" si="26"/>
        <v>-6119203.1587221762</v>
      </c>
      <c r="O113" s="317">
        <f t="shared" si="26"/>
        <v>0</v>
      </c>
      <c r="P113" s="317">
        <f t="shared" si="26"/>
        <v>0</v>
      </c>
      <c r="Q113" s="317">
        <f t="shared" si="26"/>
        <v>0</v>
      </c>
      <c r="R113" s="317">
        <f t="shared" si="26"/>
        <v>0</v>
      </c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</row>
    <row r="114" spans="1:38" ht="13.5" customHeight="1" x14ac:dyDescent="0.35">
      <c r="B114" s="315" t="s">
        <v>317</v>
      </c>
      <c r="C114" s="316"/>
      <c r="D114" s="316"/>
      <c r="E114" s="316"/>
      <c r="F114" s="316"/>
      <c r="G114" s="442">
        <f>SUMIFS(G113:R113,G113:R113,"&lt;0")</f>
        <v>-19130813.021031547</v>
      </c>
      <c r="H114" s="317">
        <f t="shared" ref="H114:R114" si="27">IF(H113&lt;0,0,H113)</f>
        <v>0</v>
      </c>
      <c r="I114" s="317">
        <f t="shared" si="27"/>
        <v>0</v>
      </c>
      <c r="J114" s="317">
        <f t="shared" si="27"/>
        <v>0</v>
      </c>
      <c r="K114" s="317">
        <f t="shared" si="27"/>
        <v>0</v>
      </c>
      <c r="L114" s="317">
        <f t="shared" si="27"/>
        <v>0</v>
      </c>
      <c r="M114" s="317">
        <f t="shared" si="27"/>
        <v>0</v>
      </c>
      <c r="N114" s="317">
        <f t="shared" si="27"/>
        <v>0</v>
      </c>
      <c r="O114" s="317">
        <f t="shared" si="27"/>
        <v>0</v>
      </c>
      <c r="P114" s="317">
        <f t="shared" si="27"/>
        <v>0</v>
      </c>
      <c r="Q114" s="317">
        <f t="shared" si="27"/>
        <v>0</v>
      </c>
      <c r="R114" s="317">
        <f t="shared" si="27"/>
        <v>0</v>
      </c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</row>
    <row r="115" spans="1:38" ht="13.5" customHeight="1" x14ac:dyDescent="0.35">
      <c r="B115" s="92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93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</row>
    <row r="116" spans="1:38" ht="13.5" customHeight="1" x14ac:dyDescent="0.35">
      <c r="B116" s="322" t="s">
        <v>318</v>
      </c>
      <c r="C116" s="323"/>
      <c r="D116" s="323"/>
      <c r="E116" s="324"/>
      <c r="F116" s="8"/>
      <c r="G116" s="8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103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</row>
    <row r="117" spans="1:38" ht="13.5" customHeight="1" x14ac:dyDescent="0.35">
      <c r="B117" s="325" t="s">
        <v>252</v>
      </c>
      <c r="C117" s="266"/>
      <c r="D117" s="266"/>
      <c r="E117" s="443">
        <f>-SUMIF(G114:R114,"&lt;0")</f>
        <v>19130813.021031547</v>
      </c>
      <c r="F117" s="8"/>
      <c r="G117" s="8"/>
      <c r="H117" s="21"/>
      <c r="I117" s="8"/>
      <c r="J117" s="8"/>
      <c r="K117" s="8"/>
      <c r="L117" s="8"/>
      <c r="M117" s="8"/>
      <c r="N117" s="8"/>
      <c r="O117" s="8"/>
      <c r="P117" s="8"/>
      <c r="Q117" s="8"/>
      <c r="R117" s="93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</row>
    <row r="118" spans="1:38" ht="13.5" customHeight="1" x14ac:dyDescent="0.35">
      <c r="B118" s="325" t="s">
        <v>253</v>
      </c>
      <c r="C118" s="266"/>
      <c r="D118" s="266"/>
      <c r="E118" s="444" t="e">
        <f>+IRR(G114:R114)</f>
        <v>#NUM!</v>
      </c>
      <c r="F118" s="8"/>
      <c r="G118" s="8"/>
      <c r="H118" s="61"/>
      <c r="I118" s="8"/>
      <c r="J118" s="8"/>
      <c r="K118" s="8"/>
      <c r="L118" s="21"/>
      <c r="M118" s="8"/>
      <c r="N118" s="8"/>
      <c r="O118" s="8"/>
      <c r="P118" s="8"/>
      <c r="Q118" s="8"/>
      <c r="R118" s="93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</row>
    <row r="119" spans="1:38" ht="13.5" customHeight="1" x14ac:dyDescent="0.35">
      <c r="B119" s="325" t="s">
        <v>254</v>
      </c>
      <c r="C119" s="266"/>
      <c r="D119" s="266"/>
      <c r="E119" s="326">
        <f>+SUM(G114:R114)</f>
        <v>-19130813.021031547</v>
      </c>
      <c r="F119" s="8"/>
      <c r="G119" s="8"/>
      <c r="H119" s="21"/>
      <c r="I119" s="8"/>
      <c r="J119" s="8"/>
      <c r="K119" s="8"/>
      <c r="L119" s="8"/>
      <c r="M119" s="8"/>
      <c r="N119" s="8"/>
      <c r="O119" s="8"/>
      <c r="P119" s="8"/>
      <c r="Q119" s="8"/>
      <c r="R119" s="93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</row>
    <row r="120" spans="1:38" ht="13.5" customHeight="1" x14ac:dyDescent="0.35">
      <c r="B120" s="328" t="s">
        <v>255</v>
      </c>
      <c r="C120" s="329"/>
      <c r="D120" s="329"/>
      <c r="E120" s="330">
        <f>SUMIF(G114:R114,"&gt;0")/-SUMIF(G114:R114,"&lt;0")</f>
        <v>0</v>
      </c>
      <c r="F120" s="112"/>
      <c r="G120" s="112"/>
      <c r="H120" s="335"/>
      <c r="I120" s="112"/>
      <c r="J120" s="112"/>
      <c r="K120" s="112"/>
      <c r="L120" s="112"/>
      <c r="M120" s="112"/>
      <c r="N120" s="112"/>
      <c r="O120" s="112"/>
      <c r="P120" s="112"/>
      <c r="Q120" s="112"/>
      <c r="R120" s="336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</row>
    <row r="121" spans="1:38" ht="13.5" customHeight="1" x14ac:dyDescent="0.35">
      <c r="B121" s="337"/>
      <c r="C121" s="8"/>
      <c r="D121" s="8"/>
      <c r="E121" s="338"/>
      <c r="F121" s="8"/>
      <c r="G121" s="8"/>
      <c r="H121" s="21"/>
      <c r="I121" s="8"/>
      <c r="J121" s="8"/>
      <c r="K121" s="8"/>
      <c r="L121" s="8"/>
      <c r="M121" s="8"/>
      <c r="N121" s="8"/>
      <c r="O121" s="8"/>
      <c r="P121" s="8"/>
      <c r="Q121" s="8"/>
      <c r="R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</row>
    <row r="122" spans="1:38" ht="19.5" customHeight="1" x14ac:dyDescent="0.4">
      <c r="A122" s="4">
        <f>+A1</f>
        <v>0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3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</row>
    <row r="123" spans="1:38" ht="13.5" customHeight="1" x14ac:dyDescent="0.35">
      <c r="A123" s="7" t="s">
        <v>319</v>
      </c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</row>
    <row r="124" spans="1:38" ht="13.5" customHeight="1" x14ac:dyDescent="0.35">
      <c r="B124" s="337"/>
      <c r="C124" s="8"/>
      <c r="D124" s="8"/>
      <c r="E124" s="338"/>
      <c r="F124" s="8"/>
      <c r="G124" s="8"/>
      <c r="H124" s="21"/>
      <c r="I124" s="8"/>
      <c r="J124" s="8"/>
      <c r="K124" s="8"/>
      <c r="L124" s="8"/>
      <c r="M124" s="8"/>
      <c r="N124" s="8"/>
      <c r="O124" s="8"/>
      <c r="P124" s="8"/>
      <c r="Q124" s="8"/>
      <c r="R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</row>
    <row r="125" spans="1:38" ht="13.5" customHeight="1" x14ac:dyDescent="0.35">
      <c r="B125" s="337"/>
      <c r="C125" s="8"/>
      <c r="D125" s="8"/>
      <c r="E125" s="338"/>
      <c r="F125" s="8"/>
      <c r="G125" s="8"/>
      <c r="H125" s="21"/>
      <c r="I125" s="8"/>
      <c r="J125" s="8"/>
      <c r="K125" s="8"/>
      <c r="L125" s="8"/>
      <c r="M125" s="8"/>
      <c r="N125" s="8"/>
      <c r="O125" s="8"/>
      <c r="P125" s="8"/>
      <c r="Q125" s="8"/>
      <c r="R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</row>
    <row r="126" spans="1:38" ht="13.5" customHeight="1" x14ac:dyDescent="0.35">
      <c r="B126" s="12" t="s">
        <v>319</v>
      </c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5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</row>
    <row r="127" spans="1:38" ht="13.5" customHeight="1" x14ac:dyDescent="0.35">
      <c r="B127" s="117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93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</row>
    <row r="128" spans="1:38" ht="13.5" customHeight="1" x14ac:dyDescent="0.35">
      <c r="B128" s="117"/>
      <c r="C128" s="8"/>
      <c r="D128" s="8"/>
      <c r="E128" s="8"/>
      <c r="F128" s="8"/>
      <c r="G128" s="8"/>
      <c r="H128" s="339">
        <f t="shared" ref="H128:R128" si="28">+H8</f>
        <v>1</v>
      </c>
      <c r="I128" s="339">
        <f t="shared" si="28"/>
        <v>2</v>
      </c>
      <c r="J128" s="339">
        <f t="shared" si="28"/>
        <v>3</v>
      </c>
      <c r="K128" s="339">
        <f t="shared" si="28"/>
        <v>4</v>
      </c>
      <c r="L128" s="339">
        <f t="shared" si="28"/>
        <v>5</v>
      </c>
      <c r="M128" s="339">
        <f t="shared" si="28"/>
        <v>6</v>
      </c>
      <c r="N128" s="339">
        <f t="shared" si="28"/>
        <v>7</v>
      </c>
      <c r="O128" s="339">
        <f t="shared" si="28"/>
        <v>8</v>
      </c>
      <c r="P128" s="339">
        <f t="shared" si="28"/>
        <v>9</v>
      </c>
      <c r="Q128" s="339">
        <f t="shared" si="28"/>
        <v>10</v>
      </c>
      <c r="R128" s="340">
        <f t="shared" si="28"/>
        <v>11</v>
      </c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</row>
    <row r="129" spans="2:38" ht="13.5" customHeight="1" x14ac:dyDescent="0.35">
      <c r="B129" s="117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93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</row>
    <row r="130" spans="2:38" ht="13.5" customHeight="1" x14ac:dyDescent="0.35">
      <c r="B130" s="299" t="s">
        <v>320</v>
      </c>
      <c r="C130" s="8"/>
      <c r="D130" s="8"/>
      <c r="E130" s="338"/>
      <c r="F130" s="8"/>
      <c r="G130" s="61"/>
      <c r="H130" s="61">
        <f t="shared" ref="H130:R130" si="29">+H61</f>
        <v>-616286.05377358478</v>
      </c>
      <c r="I130" s="61">
        <f t="shared" si="29"/>
        <v>-480754.03683953779</v>
      </c>
      <c r="J130" s="61">
        <f t="shared" si="29"/>
        <v>-346380.49665324891</v>
      </c>
      <c r="K130" s="61">
        <f t="shared" si="29"/>
        <v>-351327.6392466547</v>
      </c>
      <c r="L130" s="61">
        <f t="shared" si="29"/>
        <v>-356236.43218714616</v>
      </c>
      <c r="M130" s="61">
        <f t="shared" si="29"/>
        <v>-361099.3396715605</v>
      </c>
      <c r="N130" s="61">
        <f t="shared" si="29"/>
        <v>-365908.38239362452</v>
      </c>
      <c r="O130" s="61">
        <f t="shared" si="29"/>
        <v>-370655.11687112693</v>
      </c>
      <c r="P130" s="61">
        <f t="shared" si="29"/>
        <v>-375330.61390471767</v>
      </c>
      <c r="Q130" s="61">
        <f t="shared" si="29"/>
        <v>-379925.43613400485</v>
      </c>
      <c r="R130" s="304">
        <f t="shared" si="29"/>
        <v>-384429.61465527222</v>
      </c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</row>
    <row r="131" spans="2:38" ht="13.5" customHeight="1" x14ac:dyDescent="0.35">
      <c r="B131" s="299" t="s">
        <v>321</v>
      </c>
      <c r="C131" s="8"/>
      <c r="D131" s="8"/>
      <c r="E131" s="338"/>
      <c r="F131" s="8"/>
      <c r="G131" s="21"/>
      <c r="H131" s="21">
        <f t="shared" ref="H131:R131" si="30">+H111+H105+H99+H93+H88+H83</f>
        <v>-494660.30320318299</v>
      </c>
      <c r="I131" s="21">
        <f t="shared" si="30"/>
        <v>-494660.30320318299</v>
      </c>
      <c r="J131" s="21">
        <f t="shared" si="30"/>
        <v>-494660.30320318299</v>
      </c>
      <c r="K131" s="21">
        <f t="shared" si="30"/>
        <v>-306596.68454762071</v>
      </c>
      <c r="L131" s="21">
        <f t="shared" si="30"/>
        <v>-306596.68454762071</v>
      </c>
      <c r="M131" s="21">
        <f t="shared" si="30"/>
        <v>-306596.68454762071</v>
      </c>
      <c r="N131" s="21">
        <f t="shared" si="30"/>
        <v>-306596.68454762071</v>
      </c>
      <c r="O131" s="21">
        <f t="shared" si="30"/>
        <v>0</v>
      </c>
      <c r="P131" s="21">
        <f t="shared" si="30"/>
        <v>0</v>
      </c>
      <c r="Q131" s="21">
        <f t="shared" si="30"/>
        <v>0</v>
      </c>
      <c r="R131" s="103">
        <f t="shared" si="30"/>
        <v>0</v>
      </c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</row>
    <row r="132" spans="2:38" ht="13.5" customHeight="1" x14ac:dyDescent="0.35">
      <c r="B132" s="302" t="s">
        <v>322</v>
      </c>
      <c r="C132" s="17"/>
      <c r="D132" s="17"/>
      <c r="E132" s="341"/>
      <c r="F132" s="17"/>
      <c r="G132" s="17"/>
      <c r="H132" s="342">
        <f t="shared" ref="H132:R132" si="31">+IFERROR(H130/-H131, "NA")</f>
        <v>-1.2458773218364436</v>
      </c>
      <c r="I132" s="342">
        <f t="shared" si="31"/>
        <v>-0.97188724004413762</v>
      </c>
      <c r="J132" s="342">
        <f t="shared" si="31"/>
        <v>-0.70023912250539377</v>
      </c>
      <c r="K132" s="342">
        <f t="shared" si="31"/>
        <v>-1.1458951024373727</v>
      </c>
      <c r="L132" s="342">
        <f t="shared" si="31"/>
        <v>-1.1619056895959858</v>
      </c>
      <c r="M132" s="342">
        <f t="shared" si="31"/>
        <v>-1.1777666161144493</v>
      </c>
      <c r="N132" s="342">
        <f t="shared" si="31"/>
        <v>-1.1934518565767187</v>
      </c>
      <c r="O132" s="342" t="str">
        <f t="shared" si="31"/>
        <v>NA</v>
      </c>
      <c r="P132" s="342" t="str">
        <f t="shared" si="31"/>
        <v>NA</v>
      </c>
      <c r="Q132" s="342" t="str">
        <f t="shared" si="31"/>
        <v>NA</v>
      </c>
      <c r="R132" s="343" t="str">
        <f t="shared" si="31"/>
        <v>NA</v>
      </c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</row>
    <row r="133" spans="2:38" ht="15.75" customHeight="1" x14ac:dyDescent="0.35">
      <c r="B133" s="92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93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</row>
    <row r="134" spans="2:38" ht="15.75" customHeight="1" x14ac:dyDescent="0.35">
      <c r="B134" s="92" t="s">
        <v>114</v>
      </c>
      <c r="C134" s="8"/>
      <c r="D134" s="8"/>
      <c r="E134" s="8"/>
      <c r="F134" s="8"/>
      <c r="G134" s="8"/>
      <c r="H134" s="21">
        <f t="shared" ref="H134:R134" si="32">+H91+H81</f>
        <v>5687500</v>
      </c>
      <c r="I134" s="21">
        <f t="shared" si="32"/>
        <v>5599495.9467968168</v>
      </c>
      <c r="J134" s="21">
        <f t="shared" si="32"/>
        <v>5505199.6037896061</v>
      </c>
      <c r="K134" s="21">
        <f t="shared" si="32"/>
        <v>5431027.303493889</v>
      </c>
      <c r="L134" s="21">
        <f t="shared" si="32"/>
        <v>5516779.0058315573</v>
      </c>
      <c r="M134" s="21">
        <f t="shared" si="32"/>
        <v>5608661.9548863694</v>
      </c>
      <c r="N134" s="21">
        <f t="shared" si="32"/>
        <v>5707114.5347986007</v>
      </c>
      <c r="O134" s="21">
        <f t="shared" si="32"/>
        <v>0</v>
      </c>
      <c r="P134" s="21">
        <f t="shared" si="32"/>
        <v>0</v>
      </c>
      <c r="Q134" s="21">
        <f t="shared" si="32"/>
        <v>0</v>
      </c>
      <c r="R134" s="103">
        <f t="shared" si="32"/>
        <v>0</v>
      </c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</row>
    <row r="135" spans="2:38" ht="15.75" customHeight="1" x14ac:dyDescent="0.35">
      <c r="B135" s="92" t="s">
        <v>323</v>
      </c>
      <c r="C135" s="8"/>
      <c r="D135" s="8"/>
      <c r="E135" s="8"/>
      <c r="F135" s="8"/>
      <c r="G135" s="8"/>
      <c r="H135" s="21">
        <f t="shared" ref="H135:R135" si="33">+H103</f>
        <v>0</v>
      </c>
      <c r="I135" s="21">
        <f t="shared" si="33"/>
        <v>0</v>
      </c>
      <c r="J135" s="21">
        <f t="shared" si="33"/>
        <v>0</v>
      </c>
      <c r="K135" s="21">
        <f t="shared" si="33"/>
        <v>0</v>
      </c>
      <c r="L135" s="21">
        <f t="shared" si="33"/>
        <v>0</v>
      </c>
      <c r="M135" s="21">
        <f t="shared" si="33"/>
        <v>0</v>
      </c>
      <c r="N135" s="21">
        <f t="shared" si="33"/>
        <v>0</v>
      </c>
      <c r="O135" s="21">
        <f t="shared" si="33"/>
        <v>0</v>
      </c>
      <c r="P135" s="21">
        <f t="shared" si="33"/>
        <v>0</v>
      </c>
      <c r="Q135" s="21">
        <f t="shared" si="33"/>
        <v>0</v>
      </c>
      <c r="R135" s="103">
        <f t="shared" si="33"/>
        <v>0</v>
      </c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</row>
    <row r="136" spans="2:38" ht="15.75" customHeight="1" x14ac:dyDescent="0.35">
      <c r="B136" s="46" t="s">
        <v>324</v>
      </c>
      <c r="C136" s="47"/>
      <c r="D136" s="47"/>
      <c r="E136" s="47"/>
      <c r="F136" s="47"/>
      <c r="G136" s="47"/>
      <c r="H136" s="333">
        <f t="shared" ref="H136:R136" si="34">SUM(H134:H135)</f>
        <v>5687500</v>
      </c>
      <c r="I136" s="333">
        <f t="shared" si="34"/>
        <v>5599495.9467968168</v>
      </c>
      <c r="J136" s="333">
        <f t="shared" si="34"/>
        <v>5505199.6037896061</v>
      </c>
      <c r="K136" s="333">
        <f t="shared" si="34"/>
        <v>5431027.303493889</v>
      </c>
      <c r="L136" s="333">
        <f t="shared" si="34"/>
        <v>5516779.0058315573</v>
      </c>
      <c r="M136" s="333">
        <f t="shared" si="34"/>
        <v>5608661.9548863694</v>
      </c>
      <c r="N136" s="333">
        <f t="shared" si="34"/>
        <v>5707114.5347986007</v>
      </c>
      <c r="O136" s="333">
        <f t="shared" si="34"/>
        <v>0</v>
      </c>
      <c r="P136" s="333">
        <f t="shared" si="34"/>
        <v>0</v>
      </c>
      <c r="Q136" s="333">
        <f t="shared" si="34"/>
        <v>0</v>
      </c>
      <c r="R136" s="48">
        <f t="shared" si="34"/>
        <v>0</v>
      </c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</row>
    <row r="137" spans="2:38" ht="15.75" customHeight="1" x14ac:dyDescent="0.35">
      <c r="B137" s="92" t="s">
        <v>325</v>
      </c>
      <c r="C137" s="8"/>
      <c r="D137" s="8"/>
      <c r="E137" s="8"/>
      <c r="F137" s="8"/>
      <c r="G137" s="8"/>
      <c r="H137" s="344">
        <f t="shared" ref="H137:R137" si="35">+IFERROR(H130/H136, "N/A")</f>
        <v>-0.10835798747667424</v>
      </c>
      <c r="I137" s="344">
        <f t="shared" si="35"/>
        <v>-8.5856663065280434E-2</v>
      </c>
      <c r="J137" s="344">
        <f t="shared" si="35"/>
        <v>-6.2918789795525579E-2</v>
      </c>
      <c r="K137" s="344">
        <f t="shared" si="35"/>
        <v>-6.4688984167072514E-2</v>
      </c>
      <c r="L137" s="344">
        <f t="shared" si="35"/>
        <v>-6.4573264908850514E-2</v>
      </c>
      <c r="M137" s="344">
        <f t="shared" si="35"/>
        <v>-6.4382439622156964E-2</v>
      </c>
      <c r="N137" s="344">
        <f t="shared" si="35"/>
        <v>-6.4114427730954437E-2</v>
      </c>
      <c r="O137" s="344" t="str">
        <f t="shared" si="35"/>
        <v>N/A</v>
      </c>
      <c r="P137" s="344" t="str">
        <f t="shared" si="35"/>
        <v>N/A</v>
      </c>
      <c r="Q137" s="344" t="str">
        <f t="shared" si="35"/>
        <v>N/A</v>
      </c>
      <c r="R137" s="345" t="str">
        <f t="shared" si="35"/>
        <v>N/A</v>
      </c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</row>
    <row r="138" spans="2:38" ht="15.75" customHeight="1" x14ac:dyDescent="0.35">
      <c r="B138" s="92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93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</row>
    <row r="139" spans="2:38" ht="15.75" customHeight="1" x14ac:dyDescent="0.35">
      <c r="B139" s="92" t="s">
        <v>326</v>
      </c>
      <c r="C139" s="8"/>
      <c r="D139" s="8"/>
      <c r="E139" s="8"/>
      <c r="F139" s="8"/>
      <c r="G139" s="8"/>
      <c r="H139" s="21">
        <f>+I61/Inputs!$L$20</f>
        <v>-5655929.8451710325</v>
      </c>
      <c r="I139" s="21">
        <f>+J61/Inputs!$L$20</f>
        <v>-4075064.6665088101</v>
      </c>
      <c r="J139" s="21">
        <f>+K61/Inputs!$L$20</f>
        <v>-4133266.3440782903</v>
      </c>
      <c r="K139" s="21">
        <f>+L61/Inputs!$L$20</f>
        <v>-4191016.8492605425</v>
      </c>
      <c r="L139" s="21">
        <f>+M61/Inputs!$L$20</f>
        <v>-4248227.5255477708</v>
      </c>
      <c r="M139" s="21">
        <f>+N61/Inputs!$L$20</f>
        <v>-4304804.4987485232</v>
      </c>
      <c r="N139" s="21">
        <f>+O61/Inputs!$L$20</f>
        <v>-4360648.4337779637</v>
      </c>
      <c r="O139" s="21">
        <f>+P61/Inputs!$L$20</f>
        <v>-4415654.2812319724</v>
      </c>
      <c r="P139" s="21">
        <f>+Q61/Inputs!$L$20</f>
        <v>-4469711.0133412331</v>
      </c>
      <c r="Q139" s="21">
        <f>+R61/Inputs!$L$20</f>
        <v>-4522701.3488855548</v>
      </c>
      <c r="R139" s="93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</row>
    <row r="140" spans="2:38" ht="15.75" customHeight="1" x14ac:dyDescent="0.35">
      <c r="B140" s="92" t="s">
        <v>324</v>
      </c>
      <c r="C140" s="8"/>
      <c r="D140" s="8"/>
      <c r="E140" s="8"/>
      <c r="F140" s="8"/>
      <c r="G140" s="8"/>
      <c r="H140" s="21">
        <f t="shared" ref="H140:Q140" si="36">+H136</f>
        <v>5687500</v>
      </c>
      <c r="I140" s="21">
        <f t="shared" si="36"/>
        <v>5599495.9467968168</v>
      </c>
      <c r="J140" s="21">
        <f t="shared" si="36"/>
        <v>5505199.6037896061</v>
      </c>
      <c r="K140" s="21">
        <f t="shared" si="36"/>
        <v>5431027.303493889</v>
      </c>
      <c r="L140" s="21">
        <f t="shared" si="36"/>
        <v>5516779.0058315573</v>
      </c>
      <c r="M140" s="21">
        <f t="shared" si="36"/>
        <v>5608661.9548863694</v>
      </c>
      <c r="N140" s="21">
        <f t="shared" si="36"/>
        <v>5707114.5347986007</v>
      </c>
      <c r="O140" s="21">
        <f t="shared" si="36"/>
        <v>0</v>
      </c>
      <c r="P140" s="21">
        <f t="shared" si="36"/>
        <v>0</v>
      </c>
      <c r="Q140" s="21">
        <f t="shared" si="36"/>
        <v>0</v>
      </c>
      <c r="R140" s="103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</row>
    <row r="141" spans="2:38" ht="15.75" customHeight="1" x14ac:dyDescent="0.35">
      <c r="B141" s="92" t="s">
        <v>327</v>
      </c>
      <c r="C141" s="8"/>
      <c r="D141" s="8"/>
      <c r="E141" s="8"/>
      <c r="F141" s="8"/>
      <c r="G141" s="8"/>
      <c r="H141" s="45">
        <f t="shared" ref="H141:N141" si="37">+H139/H140</f>
        <v>-0.99444920354655519</v>
      </c>
      <c r="I141" s="45">
        <f t="shared" si="37"/>
        <v>-0.72775562393967708</v>
      </c>
      <c r="J141" s="45">
        <f t="shared" si="37"/>
        <v>-0.75079318490706126</v>
      </c>
      <c r="K141" s="45">
        <f t="shared" si="37"/>
        <v>-0.77168031296111828</v>
      </c>
      <c r="L141" s="45">
        <f t="shared" si="37"/>
        <v>-0.77005577367829059</v>
      </c>
      <c r="M141" s="45">
        <f t="shared" si="37"/>
        <v>-0.76752789406359179</v>
      </c>
      <c r="N141" s="45">
        <f t="shared" si="37"/>
        <v>-0.76407235340894508</v>
      </c>
      <c r="O141" s="45">
        <f t="shared" ref="O141:Q141" si="38">+O140/O139</f>
        <v>0</v>
      </c>
      <c r="P141" s="45">
        <f t="shared" si="38"/>
        <v>0</v>
      </c>
      <c r="Q141" s="45">
        <f t="shared" si="38"/>
        <v>0</v>
      </c>
      <c r="R141" s="319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</row>
    <row r="142" spans="2:38" ht="15.75" customHeight="1" x14ac:dyDescent="0.35">
      <c r="B142" s="92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93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</row>
    <row r="143" spans="2:38" ht="15.75" customHeight="1" x14ac:dyDescent="0.35">
      <c r="B143" s="92" t="s">
        <v>328</v>
      </c>
      <c r="C143" s="8"/>
      <c r="D143" s="8"/>
      <c r="E143" s="8"/>
      <c r="F143" s="8"/>
      <c r="G143" s="8"/>
      <c r="H143" s="45">
        <f>+H130/Summary!$C$28</f>
        <v>-3.7827070095275354E-2</v>
      </c>
      <c r="I143" s="45">
        <f>+I130/Summary!$C$28</f>
        <v>-2.9508239783723713E-2</v>
      </c>
      <c r="J143" s="45">
        <f>+J130/Summary!$C$28</f>
        <v>-2.126051570745497E-2</v>
      </c>
      <c r="K143" s="45">
        <f>+K130/Summary!$C$28</f>
        <v>-2.1564166761224936E-2</v>
      </c>
      <c r="L143" s="45">
        <f>+L130/Summary!$C$28</f>
        <v>-2.1865463948636841E-2</v>
      </c>
      <c r="M143" s="45">
        <f>+M130/Summary!$C$28</f>
        <v>-2.2163944729036524E-2</v>
      </c>
      <c r="N143" s="45">
        <f>+N130/Summary!$C$28</f>
        <v>-2.2459119339957576E-2</v>
      </c>
      <c r="O143" s="45">
        <f>+O130/Summary!$C$28</f>
        <v>-2.2750469528242237E-2</v>
      </c>
      <c r="P143" s="45">
        <f>+P130/Summary!$C$28</f>
        <v>-2.3037447227862332E-2</v>
      </c>
      <c r="Q143" s="45">
        <f>+Q130/Summary!$C$28</f>
        <v>-2.331947318233319E-2</v>
      </c>
      <c r="R143" s="131">
        <f>+R130/Summary!$C$28</f>
        <v>-2.3595935509530701E-2</v>
      </c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</row>
    <row r="144" spans="2:38" ht="15.75" customHeight="1" x14ac:dyDescent="0.35">
      <c r="B144" s="120" t="s">
        <v>329</v>
      </c>
      <c r="C144" s="112"/>
      <c r="D144" s="112"/>
      <c r="E144" s="112"/>
      <c r="F144" s="112"/>
      <c r="G144" s="112"/>
      <c r="H144" s="346">
        <f t="shared" ref="H144:R144" si="39">+H114/$E$117</f>
        <v>0</v>
      </c>
      <c r="I144" s="346">
        <f t="shared" si="39"/>
        <v>0</v>
      </c>
      <c r="J144" s="346">
        <f t="shared" si="39"/>
        <v>0</v>
      </c>
      <c r="K144" s="346">
        <f t="shared" si="39"/>
        <v>0</v>
      </c>
      <c r="L144" s="346">
        <f t="shared" si="39"/>
        <v>0</v>
      </c>
      <c r="M144" s="346">
        <f t="shared" si="39"/>
        <v>0</v>
      </c>
      <c r="N144" s="346">
        <f t="shared" si="39"/>
        <v>0</v>
      </c>
      <c r="O144" s="346">
        <f t="shared" si="39"/>
        <v>0</v>
      </c>
      <c r="P144" s="346">
        <f t="shared" si="39"/>
        <v>0</v>
      </c>
      <c r="Q144" s="346">
        <f t="shared" si="39"/>
        <v>0</v>
      </c>
      <c r="R144" s="347">
        <f t="shared" si="39"/>
        <v>0</v>
      </c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</row>
    <row r="145" spans="2:38" ht="15.75" customHeight="1" x14ac:dyDescent="0.3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</row>
    <row r="146" spans="2:38" ht="15.75" customHeight="1" x14ac:dyDescent="0.35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</row>
    <row r="147" spans="2:38" ht="15.75" customHeight="1" x14ac:dyDescent="0.35">
      <c r="B147" s="8" t="s">
        <v>330</v>
      </c>
      <c r="C147" s="8"/>
      <c r="D147" s="8"/>
      <c r="E147" s="8">
        <v>-1</v>
      </c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</row>
    <row r="148" spans="2:38" ht="15.75" customHeight="1" x14ac:dyDescent="0.35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</row>
    <row r="149" spans="2:38" ht="15.75" customHeight="1" x14ac:dyDescent="0.35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</row>
    <row r="150" spans="2:38" ht="15.75" customHeight="1" x14ac:dyDescent="0.35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</row>
    <row r="151" spans="2:38" ht="15.75" customHeight="1" x14ac:dyDescent="0.3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</row>
    <row r="152" spans="2:38" ht="15.75" customHeight="1" x14ac:dyDescent="0.35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</row>
    <row r="153" spans="2:38" ht="15.75" customHeight="1" x14ac:dyDescent="0.35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</row>
    <row r="154" spans="2:38" ht="15.75" customHeight="1" x14ac:dyDescent="0.35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</row>
    <row r="155" spans="2:38" ht="15.75" customHeight="1" x14ac:dyDescent="0.3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</row>
    <row r="156" spans="2:38" ht="15.75" customHeight="1" x14ac:dyDescent="0.35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</row>
    <row r="157" spans="2:38" ht="15.75" customHeight="1" x14ac:dyDescent="0.3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</row>
    <row r="158" spans="2:38" ht="15.75" customHeight="1" x14ac:dyDescent="0.35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</row>
    <row r="159" spans="2:38" ht="15.75" customHeight="1" x14ac:dyDescent="0.35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</row>
    <row r="160" spans="2:38" ht="15.75" customHeight="1" x14ac:dyDescent="0.35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</row>
    <row r="161" spans="2:38" ht="15.75" customHeight="1" x14ac:dyDescent="0.3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</row>
    <row r="162" spans="2:38" ht="15.75" customHeight="1" x14ac:dyDescent="0.3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</row>
    <row r="163" spans="2:38" ht="15.75" customHeight="1" x14ac:dyDescent="0.35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</row>
    <row r="164" spans="2:38" ht="15.75" customHeight="1" x14ac:dyDescent="0.35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</row>
    <row r="165" spans="2:38" ht="15.75" customHeight="1" x14ac:dyDescent="0.3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</row>
    <row r="166" spans="2:38" ht="15.75" customHeight="1" x14ac:dyDescent="0.35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</row>
    <row r="167" spans="2:38" ht="15.75" customHeight="1" x14ac:dyDescent="0.35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</row>
    <row r="168" spans="2:38" ht="15.75" customHeight="1" x14ac:dyDescent="0.35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</row>
    <row r="169" spans="2:38" ht="15.75" customHeight="1" x14ac:dyDescent="0.35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</row>
    <row r="170" spans="2:38" ht="15.75" customHeight="1" x14ac:dyDescent="0.35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</row>
    <row r="171" spans="2:38" ht="15.75" customHeight="1" x14ac:dyDescent="0.35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</row>
    <row r="172" spans="2:38" ht="15.75" customHeight="1" x14ac:dyDescent="0.35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</row>
    <row r="173" spans="2:38" ht="15.75" customHeight="1" x14ac:dyDescent="0.35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</row>
    <row r="174" spans="2:38" ht="15.75" customHeight="1" x14ac:dyDescent="0.35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</row>
    <row r="175" spans="2:38" ht="15.75" customHeight="1" x14ac:dyDescent="0.3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</row>
    <row r="176" spans="2:38" ht="15.75" customHeight="1" x14ac:dyDescent="0.35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</row>
    <row r="177" spans="2:38" ht="15.75" customHeight="1" x14ac:dyDescent="0.35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</row>
    <row r="178" spans="2:38" ht="15.75" customHeight="1" x14ac:dyDescent="0.35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</row>
    <row r="179" spans="2:38" ht="15.75" customHeight="1" x14ac:dyDescent="0.35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</row>
    <row r="180" spans="2:38" ht="15.75" customHeight="1" x14ac:dyDescent="0.35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</row>
    <row r="181" spans="2:38" ht="15.75" customHeight="1" x14ac:dyDescent="0.35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</row>
    <row r="182" spans="2:38" ht="15.75" customHeight="1" x14ac:dyDescent="0.35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</row>
    <row r="183" spans="2:38" ht="15.75" customHeight="1" x14ac:dyDescent="0.35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</row>
    <row r="184" spans="2:38" ht="15.75" customHeight="1" x14ac:dyDescent="0.35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</row>
    <row r="185" spans="2:38" ht="15.75" customHeight="1" x14ac:dyDescent="0.3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</row>
    <row r="186" spans="2:38" ht="15.75" customHeight="1" x14ac:dyDescent="0.35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</row>
    <row r="187" spans="2:38" ht="15.75" customHeight="1" x14ac:dyDescent="0.35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</row>
    <row r="188" spans="2:38" ht="15.75" customHeight="1" x14ac:dyDescent="0.35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</row>
    <row r="189" spans="2:38" ht="15.75" customHeight="1" x14ac:dyDescent="0.35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</row>
    <row r="190" spans="2:38" ht="15.75" customHeight="1" x14ac:dyDescent="0.35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</row>
    <row r="191" spans="2:38" ht="15.75" customHeight="1" x14ac:dyDescent="0.35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</row>
    <row r="192" spans="2:38" ht="15.75" customHeight="1" x14ac:dyDescent="0.35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</row>
    <row r="193" spans="2:38" ht="15.75" customHeight="1" x14ac:dyDescent="0.35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</row>
    <row r="194" spans="2:38" ht="15.75" customHeight="1" x14ac:dyDescent="0.35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</row>
    <row r="195" spans="2:38" ht="15.75" customHeight="1" x14ac:dyDescent="0.3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</row>
    <row r="196" spans="2:38" ht="15.75" customHeight="1" x14ac:dyDescent="0.35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</row>
    <row r="197" spans="2:38" ht="15.75" customHeight="1" x14ac:dyDescent="0.35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</row>
    <row r="198" spans="2:38" ht="15.75" customHeight="1" x14ac:dyDescent="0.35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</row>
    <row r="199" spans="2:38" ht="15.75" customHeight="1" x14ac:dyDescent="0.35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</row>
    <row r="200" spans="2:38" ht="15.75" customHeight="1" x14ac:dyDescent="0.35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</row>
    <row r="201" spans="2:38" ht="15.75" customHeight="1" x14ac:dyDescent="0.35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</row>
    <row r="202" spans="2:38" ht="15.75" customHeight="1" x14ac:dyDescent="0.35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</row>
    <row r="203" spans="2:38" ht="15.75" customHeight="1" x14ac:dyDescent="0.35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</row>
    <row r="204" spans="2:38" ht="15.75" customHeight="1" x14ac:dyDescent="0.35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</row>
    <row r="205" spans="2:38" ht="15.75" customHeight="1" x14ac:dyDescent="0.3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</row>
    <row r="206" spans="2:38" ht="15.75" customHeight="1" x14ac:dyDescent="0.35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</row>
    <row r="207" spans="2:38" ht="15.75" customHeight="1" x14ac:dyDescent="0.35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</row>
    <row r="208" spans="2:38" ht="15.75" customHeight="1" x14ac:dyDescent="0.35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</row>
    <row r="209" spans="2:38" ht="15.75" customHeight="1" x14ac:dyDescent="0.35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</row>
    <row r="210" spans="2:38" ht="15.75" customHeight="1" x14ac:dyDescent="0.35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</row>
    <row r="211" spans="2:38" ht="15.75" customHeight="1" x14ac:dyDescent="0.35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</row>
    <row r="212" spans="2:38" ht="15.75" customHeight="1" x14ac:dyDescent="0.35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</row>
    <row r="213" spans="2:38" ht="15.75" customHeight="1" x14ac:dyDescent="0.35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</row>
    <row r="214" spans="2:38" ht="15.75" customHeight="1" x14ac:dyDescent="0.35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</row>
    <row r="215" spans="2:38" ht="15.75" customHeight="1" x14ac:dyDescent="0.3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</row>
    <row r="216" spans="2:38" ht="15.75" customHeight="1" x14ac:dyDescent="0.35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</row>
    <row r="217" spans="2:38" ht="15.75" customHeight="1" x14ac:dyDescent="0.35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</row>
    <row r="218" spans="2:38" ht="15.75" customHeight="1" x14ac:dyDescent="0.35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</row>
    <row r="219" spans="2:38" ht="15.75" customHeight="1" x14ac:dyDescent="0.35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</row>
    <row r="220" spans="2:38" ht="15.75" customHeight="1" x14ac:dyDescent="0.35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</row>
    <row r="221" spans="2:38" ht="15.75" customHeight="1" x14ac:dyDescent="0.35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</row>
    <row r="222" spans="2:38" ht="15.75" customHeight="1" x14ac:dyDescent="0.35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</row>
    <row r="223" spans="2:38" ht="15.75" customHeight="1" x14ac:dyDescent="0.35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</row>
    <row r="224" spans="2:38" ht="15.75" customHeight="1" x14ac:dyDescent="0.35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</row>
    <row r="225" spans="2:38" ht="15.75" customHeight="1" x14ac:dyDescent="0.3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</row>
    <row r="226" spans="2:38" ht="15.75" customHeight="1" x14ac:dyDescent="0.35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</row>
    <row r="227" spans="2:38" ht="15.75" customHeight="1" x14ac:dyDescent="0.35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</row>
    <row r="228" spans="2:38" ht="15.75" customHeight="1" x14ac:dyDescent="0.35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</row>
    <row r="229" spans="2:38" ht="15.75" customHeight="1" x14ac:dyDescent="0.35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</row>
    <row r="230" spans="2:38" ht="15.75" customHeight="1" x14ac:dyDescent="0.35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</row>
    <row r="231" spans="2:38" ht="15.75" customHeight="1" x14ac:dyDescent="0.35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</row>
    <row r="232" spans="2:38" ht="15.75" customHeight="1" x14ac:dyDescent="0.35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</row>
    <row r="233" spans="2:38" ht="15.75" customHeight="1" x14ac:dyDescent="0.35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</row>
    <row r="234" spans="2:38" ht="15.75" customHeight="1" x14ac:dyDescent="0.35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</row>
    <row r="235" spans="2:38" ht="15.75" customHeight="1" x14ac:dyDescent="0.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</row>
    <row r="236" spans="2:38" ht="15.75" customHeight="1" x14ac:dyDescent="0.35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</row>
    <row r="237" spans="2:38" ht="15.75" customHeight="1" x14ac:dyDescent="0.35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</row>
    <row r="238" spans="2:38" ht="15.75" customHeight="1" x14ac:dyDescent="0.35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</row>
    <row r="239" spans="2:38" ht="15.75" customHeight="1" x14ac:dyDescent="0.35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</row>
    <row r="240" spans="2:38" ht="15.75" customHeight="1" x14ac:dyDescent="0.35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</row>
    <row r="241" spans="2:38" ht="15.75" customHeight="1" x14ac:dyDescent="0.35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</row>
    <row r="242" spans="2:38" ht="15.75" customHeight="1" x14ac:dyDescent="0.35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</row>
    <row r="243" spans="2:38" ht="15.75" customHeight="1" x14ac:dyDescent="0.35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</row>
    <row r="244" spans="2:38" ht="15.75" customHeight="1" x14ac:dyDescent="0.35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</row>
    <row r="245" spans="2:38" ht="15.75" customHeight="1" x14ac:dyDescent="0.3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</row>
    <row r="246" spans="2:38" ht="15.75" customHeight="1" x14ac:dyDescent="0.35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</row>
    <row r="247" spans="2:38" ht="15.75" customHeight="1" x14ac:dyDescent="0.35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</row>
    <row r="248" spans="2:38" ht="15.75" customHeight="1" x14ac:dyDescent="0.35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</row>
    <row r="249" spans="2:38" ht="15.75" customHeight="1" x14ac:dyDescent="0.35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</row>
    <row r="250" spans="2:38" ht="15.75" customHeight="1" x14ac:dyDescent="0.35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</row>
    <row r="251" spans="2:38" ht="15.75" customHeight="1" x14ac:dyDescent="0.35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</row>
    <row r="252" spans="2:38" ht="15.75" customHeight="1" x14ac:dyDescent="0.35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</row>
    <row r="253" spans="2:38" ht="15.75" customHeight="1" x14ac:dyDescent="0.35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</row>
    <row r="254" spans="2:38" ht="15.75" customHeight="1" x14ac:dyDescent="0.35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</row>
    <row r="255" spans="2:38" ht="15.75" customHeight="1" x14ac:dyDescent="0.3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</row>
    <row r="256" spans="2:38" ht="15.75" customHeight="1" x14ac:dyDescent="0.35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</row>
    <row r="257" spans="2:38" ht="15.75" customHeight="1" x14ac:dyDescent="0.35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</row>
    <row r="258" spans="2:38" ht="15.75" customHeight="1" x14ac:dyDescent="0.35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</row>
    <row r="259" spans="2:38" ht="15.75" customHeight="1" x14ac:dyDescent="0.35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</row>
    <row r="260" spans="2:38" ht="15.75" customHeight="1" x14ac:dyDescent="0.35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</row>
    <row r="261" spans="2:38" ht="15.75" customHeight="1" x14ac:dyDescent="0.35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</row>
    <row r="262" spans="2:38" ht="15.75" customHeight="1" x14ac:dyDescent="0.35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</row>
    <row r="263" spans="2:38" ht="15.75" customHeight="1" x14ac:dyDescent="0.35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</row>
    <row r="264" spans="2:38" ht="15.75" customHeight="1" x14ac:dyDescent="0.35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</row>
    <row r="265" spans="2:38" ht="15.75" customHeight="1" x14ac:dyDescent="0.3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</row>
    <row r="266" spans="2:38" ht="15.75" customHeight="1" x14ac:dyDescent="0.35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</row>
    <row r="267" spans="2:38" ht="15.75" customHeight="1" x14ac:dyDescent="0.35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</row>
    <row r="268" spans="2:38" ht="15.75" customHeight="1" x14ac:dyDescent="0.35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</row>
    <row r="269" spans="2:38" ht="15.75" customHeight="1" x14ac:dyDescent="0.35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</row>
    <row r="270" spans="2:38" ht="15.75" customHeight="1" x14ac:dyDescent="0.35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</row>
    <row r="271" spans="2:38" ht="15.75" customHeight="1" x14ac:dyDescent="0.35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</row>
    <row r="272" spans="2:38" ht="15.75" customHeight="1" x14ac:dyDescent="0.35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</row>
    <row r="273" spans="2:38" ht="15.75" customHeight="1" x14ac:dyDescent="0.35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</row>
    <row r="274" spans="2:38" ht="15.75" customHeight="1" x14ac:dyDescent="0.35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</row>
    <row r="275" spans="2:38" ht="15.75" customHeight="1" x14ac:dyDescent="0.3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</row>
    <row r="276" spans="2:38" ht="15.75" customHeight="1" x14ac:dyDescent="0.35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</row>
    <row r="277" spans="2:38" ht="15.75" customHeight="1" x14ac:dyDescent="0.35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</row>
    <row r="278" spans="2:38" ht="15.75" customHeight="1" x14ac:dyDescent="0.35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</row>
    <row r="279" spans="2:38" ht="15.75" customHeight="1" x14ac:dyDescent="0.35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</row>
    <row r="280" spans="2:38" ht="15.75" customHeight="1" x14ac:dyDescent="0.35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</row>
    <row r="281" spans="2:38" ht="15.75" customHeight="1" x14ac:dyDescent="0.35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</row>
    <row r="282" spans="2:38" ht="15.75" customHeight="1" x14ac:dyDescent="0.35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</row>
    <row r="283" spans="2:38" ht="15.75" customHeight="1" x14ac:dyDescent="0.35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</row>
    <row r="284" spans="2:38" ht="15.75" customHeight="1" x14ac:dyDescent="0.35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</row>
    <row r="285" spans="2:38" ht="15.75" customHeight="1" x14ac:dyDescent="0.3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</row>
    <row r="286" spans="2:38" ht="15.75" customHeight="1" x14ac:dyDescent="0.35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</row>
    <row r="287" spans="2:38" ht="15.75" customHeight="1" x14ac:dyDescent="0.35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</row>
    <row r="288" spans="2:38" ht="15.75" customHeight="1" x14ac:dyDescent="0.35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</row>
    <row r="289" spans="2:38" ht="15.75" customHeight="1" x14ac:dyDescent="0.35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</row>
    <row r="290" spans="2:38" ht="15.75" customHeight="1" x14ac:dyDescent="0.35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</row>
    <row r="291" spans="2:38" ht="15.75" customHeight="1" x14ac:dyDescent="0.35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</row>
    <row r="292" spans="2:38" ht="15.75" customHeight="1" x14ac:dyDescent="0.35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</row>
    <row r="293" spans="2:38" ht="15.75" customHeight="1" x14ac:dyDescent="0.35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</row>
    <row r="294" spans="2:38" ht="15.75" customHeight="1" x14ac:dyDescent="0.35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</row>
    <row r="295" spans="2:38" ht="15.75" customHeight="1" x14ac:dyDescent="0.3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</row>
    <row r="296" spans="2:38" ht="15.75" customHeight="1" x14ac:dyDescent="0.35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</row>
    <row r="297" spans="2:38" ht="15.75" customHeight="1" x14ac:dyDescent="0.35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</row>
    <row r="298" spans="2:38" ht="15.75" customHeight="1" x14ac:dyDescent="0.35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</row>
    <row r="299" spans="2:38" ht="15.75" customHeight="1" x14ac:dyDescent="0.35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</row>
    <row r="300" spans="2:38" ht="15.75" customHeight="1" x14ac:dyDescent="0.35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</row>
    <row r="301" spans="2:38" ht="15.75" customHeight="1" x14ac:dyDescent="0.35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</row>
    <row r="302" spans="2:38" ht="15.75" customHeight="1" x14ac:dyDescent="0.35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</row>
    <row r="303" spans="2:38" ht="15.75" customHeight="1" x14ac:dyDescent="0.35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</row>
    <row r="304" spans="2:38" ht="15.75" customHeight="1" x14ac:dyDescent="0.35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</row>
    <row r="305" spans="2:38" ht="15.75" customHeight="1" x14ac:dyDescent="0.3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</row>
    <row r="306" spans="2:38" ht="15.75" customHeight="1" x14ac:dyDescent="0.35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</row>
    <row r="307" spans="2:38" ht="15.75" customHeight="1" x14ac:dyDescent="0.35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</row>
    <row r="308" spans="2:38" ht="15.75" customHeight="1" x14ac:dyDescent="0.35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</row>
    <row r="309" spans="2:38" ht="15.75" customHeight="1" x14ac:dyDescent="0.35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</row>
    <row r="310" spans="2:38" ht="15.75" customHeight="1" x14ac:dyDescent="0.35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</row>
    <row r="311" spans="2:38" ht="15.75" customHeight="1" x14ac:dyDescent="0.35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</row>
    <row r="312" spans="2:38" ht="15.75" customHeight="1" x14ac:dyDescent="0.35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</row>
    <row r="313" spans="2:38" ht="15.75" customHeight="1" x14ac:dyDescent="0.35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</row>
    <row r="314" spans="2:38" ht="15.75" customHeight="1" x14ac:dyDescent="0.35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</row>
    <row r="315" spans="2:38" ht="15.75" customHeight="1" x14ac:dyDescent="0.3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</row>
    <row r="316" spans="2:38" ht="15.75" customHeight="1" x14ac:dyDescent="0.35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</row>
    <row r="317" spans="2:38" ht="15.75" customHeight="1" x14ac:dyDescent="0.35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</row>
    <row r="318" spans="2:38" ht="15.75" customHeight="1" x14ac:dyDescent="0.35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</row>
    <row r="319" spans="2:38" ht="15.75" customHeight="1" x14ac:dyDescent="0.35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</row>
    <row r="320" spans="2:38" ht="15.75" customHeight="1" x14ac:dyDescent="0.35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</row>
    <row r="321" spans="2:38" ht="15.75" customHeight="1" x14ac:dyDescent="0.35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</row>
    <row r="322" spans="2:38" ht="15.75" customHeight="1" x14ac:dyDescent="0.35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</row>
    <row r="323" spans="2:38" ht="15.75" customHeight="1" x14ac:dyDescent="0.35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</row>
    <row r="324" spans="2:38" ht="15.75" customHeight="1" x14ac:dyDescent="0.35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</row>
    <row r="325" spans="2:38" ht="15.75" customHeight="1" x14ac:dyDescent="0.3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</row>
    <row r="326" spans="2:38" ht="15.75" customHeight="1" x14ac:dyDescent="0.35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</row>
    <row r="327" spans="2:38" ht="15.75" customHeight="1" x14ac:dyDescent="0.35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</row>
    <row r="328" spans="2:38" ht="15.75" customHeight="1" x14ac:dyDescent="0.35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</row>
    <row r="329" spans="2:38" ht="15.75" customHeight="1" x14ac:dyDescent="0.35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</row>
    <row r="330" spans="2:38" ht="15.75" customHeight="1" x14ac:dyDescent="0.35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</row>
    <row r="331" spans="2:38" ht="15.75" customHeight="1" x14ac:dyDescent="0.35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</row>
    <row r="332" spans="2:38" ht="15.75" customHeight="1" x14ac:dyDescent="0.35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</row>
    <row r="333" spans="2:38" ht="15.75" customHeight="1" x14ac:dyDescent="0.35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</row>
    <row r="334" spans="2:38" ht="15.75" customHeight="1" x14ac:dyDescent="0.35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</row>
    <row r="335" spans="2:38" ht="15.75" customHeight="1" x14ac:dyDescent="0.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</row>
    <row r="336" spans="2:38" ht="15.75" customHeight="1" x14ac:dyDescent="0.35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</row>
    <row r="337" spans="2:38" ht="15.75" customHeight="1" x14ac:dyDescent="0.35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</row>
    <row r="338" spans="2:38" ht="15.75" customHeight="1" x14ac:dyDescent="0.35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</row>
    <row r="339" spans="2:38" ht="15.75" customHeight="1" x14ac:dyDescent="0.35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</row>
    <row r="340" spans="2:38" ht="15.75" customHeight="1" x14ac:dyDescent="0.35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</row>
    <row r="341" spans="2:38" ht="15.75" customHeight="1" x14ac:dyDescent="0.35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</row>
    <row r="342" spans="2:38" ht="15.75" customHeight="1" x14ac:dyDescent="0.35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</row>
    <row r="343" spans="2:38" ht="15.75" customHeight="1" x14ac:dyDescent="0.35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</row>
    <row r="344" spans="2:38" ht="15.75" customHeight="1" x14ac:dyDescent="0.35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</row>
    <row r="345" spans="2:38" ht="15.75" customHeight="1" x14ac:dyDescent="0.3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</row>
    <row r="346" spans="2:38" ht="15.75" customHeight="1" x14ac:dyDescent="0.35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</row>
    <row r="347" spans="2:38" ht="15.75" customHeight="1" x14ac:dyDescent="0.35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</row>
    <row r="348" spans="2:38" ht="15.75" customHeight="1" x14ac:dyDescent="0.35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</row>
    <row r="349" spans="2:38" ht="15.75" customHeight="1" x14ac:dyDescent="0.35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</row>
    <row r="350" spans="2:38" ht="15.75" customHeight="1" x14ac:dyDescent="0.35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</row>
    <row r="351" spans="2:38" ht="15.75" customHeight="1" x14ac:dyDescent="0.35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</row>
    <row r="352" spans="2:38" ht="15.75" customHeight="1" x14ac:dyDescent="0.35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</row>
    <row r="353" spans="2:38" ht="15.75" customHeight="1" x14ac:dyDescent="0.35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</row>
    <row r="354" spans="2:38" ht="15.75" customHeight="1" x14ac:dyDescent="0.35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</row>
    <row r="355" spans="2:38" ht="15.75" customHeight="1" x14ac:dyDescent="0.3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</row>
    <row r="356" spans="2:38" ht="15.75" customHeight="1" x14ac:dyDescent="0.35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</row>
    <row r="357" spans="2:38" ht="15.75" customHeight="1" x14ac:dyDescent="0.35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</row>
    <row r="358" spans="2:38" ht="15.75" customHeight="1" x14ac:dyDescent="0.35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</row>
    <row r="359" spans="2:38" ht="15.75" customHeight="1" x14ac:dyDescent="0.35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</row>
    <row r="360" spans="2:38" ht="15.75" customHeight="1" x14ac:dyDescent="0.35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</row>
    <row r="361" spans="2:38" ht="15.75" customHeight="1" x14ac:dyDescent="0.35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</row>
    <row r="362" spans="2:38" ht="15.75" customHeight="1" x14ac:dyDescent="0.35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</row>
    <row r="363" spans="2:38" ht="15.75" customHeight="1" x14ac:dyDescent="0.35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</row>
    <row r="364" spans="2:38" ht="15.75" customHeight="1" x14ac:dyDescent="0.35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</row>
    <row r="365" spans="2:38" ht="15.75" customHeight="1" x14ac:dyDescent="0.3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</row>
    <row r="366" spans="2:38" ht="15.75" customHeight="1" x14ac:dyDescent="0.35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</row>
    <row r="367" spans="2:38" ht="15.75" customHeight="1" x14ac:dyDescent="0.35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</row>
    <row r="368" spans="2:38" ht="15.75" customHeight="1" x14ac:dyDescent="0.35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</row>
    <row r="369" spans="2:38" ht="15.75" customHeight="1" x14ac:dyDescent="0.35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</row>
    <row r="370" spans="2:38" ht="15.75" customHeight="1" x14ac:dyDescent="0.35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</row>
    <row r="371" spans="2:38" ht="15.75" customHeight="1" x14ac:dyDescent="0.35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</row>
    <row r="372" spans="2:38" ht="15.75" customHeight="1" x14ac:dyDescent="0.35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</row>
    <row r="373" spans="2:38" ht="15.75" customHeight="1" x14ac:dyDescent="0.35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</row>
    <row r="374" spans="2:38" ht="15.75" customHeight="1" x14ac:dyDescent="0.35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</row>
    <row r="375" spans="2:38" ht="15.75" customHeight="1" x14ac:dyDescent="0.3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</row>
    <row r="376" spans="2:38" ht="15.75" customHeight="1" x14ac:dyDescent="0.35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</row>
    <row r="377" spans="2:38" ht="15.75" customHeight="1" x14ac:dyDescent="0.35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</row>
    <row r="378" spans="2:38" ht="15.75" customHeight="1" x14ac:dyDescent="0.35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</row>
    <row r="379" spans="2:38" ht="15.75" customHeight="1" x14ac:dyDescent="0.35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</row>
    <row r="380" spans="2:38" ht="15.75" customHeight="1" x14ac:dyDescent="0.35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</row>
    <row r="381" spans="2:38" ht="15.75" customHeight="1" x14ac:dyDescent="0.35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</row>
    <row r="382" spans="2:38" ht="15.75" customHeight="1" x14ac:dyDescent="0.35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</row>
    <row r="383" spans="2:38" ht="15.75" customHeight="1" x14ac:dyDescent="0.35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</row>
    <row r="384" spans="2:38" ht="15.75" customHeight="1" x14ac:dyDescent="0.35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</row>
    <row r="385" spans="2:38" ht="15.75" customHeight="1" x14ac:dyDescent="0.3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</row>
    <row r="386" spans="2:38" ht="15.75" customHeight="1" x14ac:dyDescent="0.35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</row>
    <row r="387" spans="2:38" ht="15.75" customHeight="1" x14ac:dyDescent="0.35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</row>
    <row r="388" spans="2:38" ht="15.75" customHeight="1" x14ac:dyDescent="0.35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</row>
    <row r="389" spans="2:38" ht="15.75" customHeight="1" x14ac:dyDescent="0.35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</row>
    <row r="390" spans="2:38" ht="15.75" customHeight="1" x14ac:dyDescent="0.35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</row>
    <row r="391" spans="2:38" ht="15.75" customHeight="1" x14ac:dyDescent="0.35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</row>
    <row r="392" spans="2:38" ht="15.75" customHeight="1" x14ac:dyDescent="0.35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</row>
    <row r="393" spans="2:38" ht="15.75" customHeight="1" x14ac:dyDescent="0.35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</row>
    <row r="394" spans="2:38" ht="15.75" customHeight="1" x14ac:dyDescent="0.35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</row>
    <row r="395" spans="2:38" ht="15.75" customHeight="1" x14ac:dyDescent="0.3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</row>
    <row r="396" spans="2:38" ht="15.75" customHeight="1" x14ac:dyDescent="0.35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</row>
    <row r="397" spans="2:38" ht="15.75" customHeight="1" x14ac:dyDescent="0.35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</row>
    <row r="398" spans="2:38" ht="15.75" customHeight="1" x14ac:dyDescent="0.35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</row>
    <row r="399" spans="2:38" ht="15.75" customHeight="1" x14ac:dyDescent="0.35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</row>
    <row r="400" spans="2:38" ht="15.75" customHeight="1" x14ac:dyDescent="0.35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</row>
    <row r="401" spans="2:38" ht="15.75" customHeight="1" x14ac:dyDescent="0.35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</row>
    <row r="402" spans="2:38" ht="15.75" customHeight="1" x14ac:dyDescent="0.35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</row>
    <row r="403" spans="2:38" ht="15.75" customHeight="1" x14ac:dyDescent="0.35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</row>
    <row r="404" spans="2:38" ht="15.75" customHeight="1" x14ac:dyDescent="0.35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</row>
    <row r="405" spans="2:38" ht="15.75" customHeight="1" x14ac:dyDescent="0.3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</row>
    <row r="406" spans="2:38" ht="15.75" customHeight="1" x14ac:dyDescent="0.35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</row>
    <row r="407" spans="2:38" ht="15.75" customHeight="1" x14ac:dyDescent="0.35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</row>
    <row r="408" spans="2:38" ht="15.75" customHeight="1" x14ac:dyDescent="0.35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</row>
    <row r="409" spans="2:38" ht="15.75" customHeight="1" x14ac:dyDescent="0.35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</row>
    <row r="410" spans="2:38" ht="15.75" customHeight="1" x14ac:dyDescent="0.35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</row>
    <row r="411" spans="2:38" ht="15.75" customHeight="1" x14ac:dyDescent="0.35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</row>
    <row r="412" spans="2:38" ht="15.75" customHeight="1" x14ac:dyDescent="0.35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</row>
    <row r="413" spans="2:38" ht="15.75" customHeight="1" x14ac:dyDescent="0.35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</row>
    <row r="414" spans="2:38" ht="15.75" customHeight="1" x14ac:dyDescent="0.35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</row>
    <row r="415" spans="2:38" ht="15.75" customHeight="1" x14ac:dyDescent="0.3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</row>
    <row r="416" spans="2:38" ht="15.75" customHeight="1" x14ac:dyDescent="0.35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</row>
    <row r="417" spans="2:38" ht="15.75" customHeight="1" x14ac:dyDescent="0.35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</row>
    <row r="418" spans="2:38" ht="15.75" customHeight="1" x14ac:dyDescent="0.35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</row>
    <row r="419" spans="2:38" ht="15.75" customHeight="1" x14ac:dyDescent="0.35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</row>
    <row r="420" spans="2:38" ht="15.75" customHeight="1" x14ac:dyDescent="0.35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</row>
    <row r="421" spans="2:38" ht="15.75" customHeight="1" x14ac:dyDescent="0.35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</row>
    <row r="422" spans="2:38" ht="15.75" customHeight="1" x14ac:dyDescent="0.35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</row>
    <row r="423" spans="2:38" ht="15.75" customHeight="1" x14ac:dyDescent="0.35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</row>
    <row r="424" spans="2:38" ht="15.75" customHeight="1" x14ac:dyDescent="0.35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</row>
    <row r="425" spans="2:38" ht="15.75" customHeight="1" x14ac:dyDescent="0.3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</row>
    <row r="426" spans="2:38" ht="15.75" customHeight="1" x14ac:dyDescent="0.35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</row>
    <row r="427" spans="2:38" ht="15.75" customHeight="1" x14ac:dyDescent="0.35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</row>
    <row r="428" spans="2:38" ht="15.75" customHeight="1" x14ac:dyDescent="0.35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</row>
    <row r="429" spans="2:38" ht="15.75" customHeight="1" x14ac:dyDescent="0.35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</row>
    <row r="430" spans="2:38" ht="15.75" customHeight="1" x14ac:dyDescent="0.35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</row>
    <row r="431" spans="2:38" ht="15.75" customHeight="1" x14ac:dyDescent="0.35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</row>
    <row r="432" spans="2:38" ht="15.75" customHeight="1" x14ac:dyDescent="0.35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</row>
    <row r="433" spans="2:38" ht="15.75" customHeight="1" x14ac:dyDescent="0.35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</row>
    <row r="434" spans="2:38" ht="15.75" customHeight="1" x14ac:dyDescent="0.35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</row>
    <row r="435" spans="2:38" ht="15.75" customHeight="1" x14ac:dyDescent="0.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</row>
    <row r="436" spans="2:38" ht="15.75" customHeight="1" x14ac:dyDescent="0.35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</row>
    <row r="437" spans="2:38" ht="15.75" customHeight="1" x14ac:dyDescent="0.35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</row>
    <row r="438" spans="2:38" ht="15.75" customHeight="1" x14ac:dyDescent="0.35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</row>
    <row r="439" spans="2:38" ht="15.75" customHeight="1" x14ac:dyDescent="0.35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</row>
    <row r="440" spans="2:38" ht="15.75" customHeight="1" x14ac:dyDescent="0.35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</row>
    <row r="441" spans="2:38" ht="15.75" customHeight="1" x14ac:dyDescent="0.35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</row>
    <row r="442" spans="2:38" ht="15.75" customHeight="1" x14ac:dyDescent="0.35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</row>
    <row r="443" spans="2:38" ht="15.75" customHeight="1" x14ac:dyDescent="0.35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</row>
    <row r="444" spans="2:38" ht="15.75" customHeight="1" x14ac:dyDescent="0.35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</row>
    <row r="445" spans="2:38" ht="15.75" customHeight="1" x14ac:dyDescent="0.3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</row>
    <row r="446" spans="2:38" ht="15.75" customHeight="1" x14ac:dyDescent="0.35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</row>
    <row r="447" spans="2:38" ht="15.75" customHeight="1" x14ac:dyDescent="0.35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</row>
    <row r="448" spans="2:38" ht="15.75" customHeight="1" x14ac:dyDescent="0.35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</row>
    <row r="449" spans="2:38" ht="15.75" customHeight="1" x14ac:dyDescent="0.35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</row>
    <row r="450" spans="2:38" ht="15.75" customHeight="1" x14ac:dyDescent="0.35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</row>
    <row r="451" spans="2:38" ht="15.75" customHeight="1" x14ac:dyDescent="0.35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</row>
    <row r="452" spans="2:38" ht="15.75" customHeight="1" x14ac:dyDescent="0.35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</row>
    <row r="453" spans="2:38" ht="15.75" customHeight="1" x14ac:dyDescent="0.35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</row>
    <row r="454" spans="2:38" ht="15.75" customHeight="1" x14ac:dyDescent="0.35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</row>
    <row r="455" spans="2:38" ht="15.75" customHeight="1" x14ac:dyDescent="0.3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</row>
    <row r="456" spans="2:38" ht="15.75" customHeight="1" x14ac:dyDescent="0.35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</row>
    <row r="457" spans="2:38" ht="15.75" customHeight="1" x14ac:dyDescent="0.35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</row>
    <row r="458" spans="2:38" ht="15.75" customHeight="1" x14ac:dyDescent="0.35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</row>
    <row r="459" spans="2:38" ht="15.75" customHeight="1" x14ac:dyDescent="0.35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</row>
    <row r="460" spans="2:38" ht="15.75" customHeight="1" x14ac:dyDescent="0.35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</row>
    <row r="461" spans="2:38" ht="15.75" customHeight="1" x14ac:dyDescent="0.35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</row>
    <row r="462" spans="2:38" ht="15.75" customHeight="1" x14ac:dyDescent="0.35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</row>
    <row r="463" spans="2:38" ht="15.75" customHeight="1" x14ac:dyDescent="0.35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</row>
    <row r="464" spans="2:38" ht="15.75" customHeight="1" x14ac:dyDescent="0.35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</row>
    <row r="465" spans="2:38" ht="15.75" customHeight="1" x14ac:dyDescent="0.3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</row>
    <row r="466" spans="2:38" ht="15.75" customHeight="1" x14ac:dyDescent="0.35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</row>
    <row r="467" spans="2:38" ht="15.75" customHeight="1" x14ac:dyDescent="0.35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</row>
    <row r="468" spans="2:38" ht="15.75" customHeight="1" x14ac:dyDescent="0.35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</row>
    <row r="469" spans="2:38" ht="15.75" customHeight="1" x14ac:dyDescent="0.35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</row>
    <row r="470" spans="2:38" ht="15.75" customHeight="1" x14ac:dyDescent="0.35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</row>
    <row r="471" spans="2:38" ht="15.75" customHeight="1" x14ac:dyDescent="0.35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</row>
    <row r="472" spans="2:38" ht="15.75" customHeight="1" x14ac:dyDescent="0.35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</row>
    <row r="473" spans="2:38" ht="15.75" customHeight="1" x14ac:dyDescent="0.35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</row>
    <row r="474" spans="2:38" ht="15.75" customHeight="1" x14ac:dyDescent="0.35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</row>
    <row r="475" spans="2:38" ht="15.75" customHeight="1" x14ac:dyDescent="0.3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</row>
    <row r="476" spans="2:38" ht="15.75" customHeight="1" x14ac:dyDescent="0.35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</row>
    <row r="477" spans="2:38" ht="15.75" customHeight="1" x14ac:dyDescent="0.35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</row>
    <row r="478" spans="2:38" ht="15.75" customHeight="1" x14ac:dyDescent="0.35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</row>
    <row r="479" spans="2:38" ht="15.75" customHeight="1" x14ac:dyDescent="0.35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</row>
    <row r="480" spans="2:38" ht="15.75" customHeight="1" x14ac:dyDescent="0.35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</row>
    <row r="481" spans="2:38" ht="15.75" customHeight="1" x14ac:dyDescent="0.35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</row>
    <row r="482" spans="2:38" ht="15.75" customHeight="1" x14ac:dyDescent="0.35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</row>
    <row r="483" spans="2:38" ht="15.75" customHeight="1" x14ac:dyDescent="0.35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</row>
    <row r="484" spans="2:38" ht="15.75" customHeight="1" x14ac:dyDescent="0.35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</row>
    <row r="485" spans="2:38" ht="15.75" customHeight="1" x14ac:dyDescent="0.3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</row>
    <row r="486" spans="2:38" ht="15.75" customHeight="1" x14ac:dyDescent="0.35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</row>
    <row r="487" spans="2:38" ht="15.75" customHeight="1" x14ac:dyDescent="0.35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</row>
    <row r="488" spans="2:38" ht="15.75" customHeight="1" x14ac:dyDescent="0.35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</row>
    <row r="489" spans="2:38" ht="15.75" customHeight="1" x14ac:dyDescent="0.35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</row>
    <row r="490" spans="2:38" ht="15.75" customHeight="1" x14ac:dyDescent="0.35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</row>
    <row r="491" spans="2:38" ht="15.75" customHeight="1" x14ac:dyDescent="0.35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</row>
    <row r="492" spans="2:38" ht="15.75" customHeight="1" x14ac:dyDescent="0.35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</row>
    <row r="493" spans="2:38" ht="15.75" customHeight="1" x14ac:dyDescent="0.35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</row>
    <row r="494" spans="2:38" ht="15.75" customHeight="1" x14ac:dyDescent="0.35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</row>
    <row r="495" spans="2:38" ht="15.75" customHeight="1" x14ac:dyDescent="0.3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</row>
    <row r="496" spans="2:38" ht="15.75" customHeight="1" x14ac:dyDescent="0.35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</row>
    <row r="497" spans="2:38" ht="15.75" customHeight="1" x14ac:dyDescent="0.35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</row>
    <row r="498" spans="2:38" ht="15.75" customHeight="1" x14ac:dyDescent="0.35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</row>
    <row r="499" spans="2:38" ht="15.75" customHeight="1" x14ac:dyDescent="0.35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</row>
    <row r="500" spans="2:38" ht="15.75" customHeight="1" x14ac:dyDescent="0.35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</row>
    <row r="501" spans="2:38" ht="15.75" customHeight="1" x14ac:dyDescent="0.35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</row>
    <row r="502" spans="2:38" ht="15.75" customHeight="1" x14ac:dyDescent="0.35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</row>
    <row r="503" spans="2:38" ht="15.75" customHeight="1" x14ac:dyDescent="0.35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</row>
    <row r="504" spans="2:38" ht="15.75" customHeight="1" x14ac:dyDescent="0.35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</row>
    <row r="505" spans="2:38" ht="15.75" customHeight="1" x14ac:dyDescent="0.3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</row>
    <row r="506" spans="2:38" ht="15.75" customHeight="1" x14ac:dyDescent="0.35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</row>
    <row r="507" spans="2:38" ht="15.75" customHeight="1" x14ac:dyDescent="0.35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</row>
    <row r="508" spans="2:38" ht="15.75" customHeight="1" x14ac:dyDescent="0.35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</row>
    <row r="509" spans="2:38" ht="15.75" customHeight="1" x14ac:dyDescent="0.35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</row>
    <row r="510" spans="2:38" ht="15.75" customHeight="1" x14ac:dyDescent="0.35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</row>
    <row r="511" spans="2:38" ht="15.75" customHeight="1" x14ac:dyDescent="0.35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</row>
    <row r="512" spans="2:38" ht="15.75" customHeight="1" x14ac:dyDescent="0.35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</row>
    <row r="513" spans="2:38" ht="15.75" customHeight="1" x14ac:dyDescent="0.35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</row>
    <row r="514" spans="2:38" ht="15.75" customHeight="1" x14ac:dyDescent="0.35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</row>
    <row r="515" spans="2:38" ht="15.75" customHeight="1" x14ac:dyDescent="0.3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</row>
    <row r="516" spans="2:38" ht="15.75" customHeight="1" x14ac:dyDescent="0.35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</row>
    <row r="517" spans="2:38" ht="15.75" customHeight="1" x14ac:dyDescent="0.35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</row>
    <row r="518" spans="2:38" ht="15.75" customHeight="1" x14ac:dyDescent="0.35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</row>
    <row r="519" spans="2:38" ht="15.75" customHeight="1" x14ac:dyDescent="0.35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</row>
    <row r="520" spans="2:38" ht="15.75" customHeight="1" x14ac:dyDescent="0.35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</row>
    <row r="521" spans="2:38" ht="15.75" customHeight="1" x14ac:dyDescent="0.35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</row>
    <row r="522" spans="2:38" ht="15.75" customHeight="1" x14ac:dyDescent="0.35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</row>
    <row r="523" spans="2:38" ht="15.75" customHeight="1" x14ac:dyDescent="0.35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</row>
    <row r="524" spans="2:38" ht="15.75" customHeight="1" x14ac:dyDescent="0.35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</row>
    <row r="525" spans="2:38" ht="15.75" customHeight="1" x14ac:dyDescent="0.3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</row>
    <row r="526" spans="2:38" ht="15.75" customHeight="1" x14ac:dyDescent="0.35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</row>
    <row r="527" spans="2:38" ht="15.75" customHeight="1" x14ac:dyDescent="0.35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</row>
    <row r="528" spans="2:38" ht="15.75" customHeight="1" x14ac:dyDescent="0.35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</row>
    <row r="529" spans="2:38" ht="15.75" customHeight="1" x14ac:dyDescent="0.35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</row>
    <row r="530" spans="2:38" ht="15.75" customHeight="1" x14ac:dyDescent="0.35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</row>
    <row r="531" spans="2:38" ht="15.75" customHeight="1" x14ac:dyDescent="0.35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</row>
    <row r="532" spans="2:38" ht="15.75" customHeight="1" x14ac:dyDescent="0.35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</row>
    <row r="533" spans="2:38" ht="15.75" customHeight="1" x14ac:dyDescent="0.35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</row>
    <row r="534" spans="2:38" ht="15.75" customHeight="1" x14ac:dyDescent="0.35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</row>
    <row r="535" spans="2:38" ht="15.75" customHeight="1" x14ac:dyDescent="0.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</row>
    <row r="536" spans="2:38" ht="15.75" customHeight="1" x14ac:dyDescent="0.35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</row>
    <row r="537" spans="2:38" ht="15.75" customHeight="1" x14ac:dyDescent="0.35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</row>
    <row r="538" spans="2:38" ht="15.75" customHeight="1" x14ac:dyDescent="0.35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</row>
    <row r="539" spans="2:38" ht="15.75" customHeight="1" x14ac:dyDescent="0.35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</row>
    <row r="540" spans="2:38" ht="15.75" customHeight="1" x14ac:dyDescent="0.35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</row>
    <row r="541" spans="2:38" ht="15.75" customHeight="1" x14ac:dyDescent="0.35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</row>
    <row r="542" spans="2:38" ht="15.75" customHeight="1" x14ac:dyDescent="0.35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</row>
    <row r="543" spans="2:38" ht="15.75" customHeight="1" x14ac:dyDescent="0.35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</row>
    <row r="544" spans="2:38" ht="15.75" customHeight="1" x14ac:dyDescent="0.35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</row>
    <row r="545" spans="2:38" ht="15.75" customHeight="1" x14ac:dyDescent="0.3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</row>
    <row r="546" spans="2:38" ht="15.75" customHeight="1" x14ac:dyDescent="0.35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</row>
    <row r="547" spans="2:38" ht="15.75" customHeight="1" x14ac:dyDescent="0.35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</row>
    <row r="548" spans="2:38" ht="15.75" customHeight="1" x14ac:dyDescent="0.35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</row>
    <row r="549" spans="2:38" ht="15.75" customHeight="1" x14ac:dyDescent="0.35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</row>
    <row r="550" spans="2:38" ht="15.75" customHeight="1" x14ac:dyDescent="0.35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</row>
    <row r="551" spans="2:38" ht="15.75" customHeight="1" x14ac:dyDescent="0.35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</row>
    <row r="552" spans="2:38" ht="15.75" customHeight="1" x14ac:dyDescent="0.35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</row>
    <row r="553" spans="2:38" ht="15.75" customHeight="1" x14ac:dyDescent="0.35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</row>
    <row r="554" spans="2:38" ht="15.75" customHeight="1" x14ac:dyDescent="0.35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</row>
    <row r="555" spans="2:38" ht="15.75" customHeight="1" x14ac:dyDescent="0.3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</row>
    <row r="556" spans="2:38" ht="15.75" customHeight="1" x14ac:dyDescent="0.35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</row>
    <row r="557" spans="2:38" ht="15.75" customHeight="1" x14ac:dyDescent="0.35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</row>
    <row r="558" spans="2:38" ht="15.75" customHeight="1" x14ac:dyDescent="0.35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</row>
    <row r="559" spans="2:38" ht="15.75" customHeight="1" x14ac:dyDescent="0.35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</row>
    <row r="560" spans="2:38" ht="15.75" customHeight="1" x14ac:dyDescent="0.35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</row>
    <row r="561" spans="2:38" ht="15.75" customHeight="1" x14ac:dyDescent="0.35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</row>
    <row r="562" spans="2:38" ht="15.75" customHeight="1" x14ac:dyDescent="0.35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</row>
    <row r="563" spans="2:38" ht="15.75" customHeight="1" x14ac:dyDescent="0.35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</row>
    <row r="564" spans="2:38" ht="15.75" customHeight="1" x14ac:dyDescent="0.35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</row>
    <row r="565" spans="2:38" ht="15.75" customHeight="1" x14ac:dyDescent="0.3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</row>
    <row r="566" spans="2:38" ht="15.75" customHeight="1" x14ac:dyDescent="0.35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</row>
    <row r="567" spans="2:38" ht="15.75" customHeight="1" x14ac:dyDescent="0.35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</row>
    <row r="568" spans="2:38" ht="15.75" customHeight="1" x14ac:dyDescent="0.35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</row>
    <row r="569" spans="2:38" ht="15.75" customHeight="1" x14ac:dyDescent="0.35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</row>
    <row r="570" spans="2:38" ht="15.75" customHeight="1" x14ac:dyDescent="0.35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</row>
    <row r="571" spans="2:38" ht="15.75" customHeight="1" x14ac:dyDescent="0.35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</row>
    <row r="572" spans="2:38" ht="15.75" customHeight="1" x14ac:dyDescent="0.35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</row>
    <row r="573" spans="2:38" ht="15.75" customHeight="1" x14ac:dyDescent="0.35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</row>
    <row r="574" spans="2:38" ht="15.75" customHeight="1" x14ac:dyDescent="0.35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</row>
    <row r="575" spans="2:38" ht="15.75" customHeight="1" x14ac:dyDescent="0.3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</row>
    <row r="576" spans="2:38" ht="15.75" customHeight="1" x14ac:dyDescent="0.35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</row>
    <row r="577" spans="2:38" ht="15.75" customHeight="1" x14ac:dyDescent="0.35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</row>
    <row r="578" spans="2:38" ht="15.75" customHeight="1" x14ac:dyDescent="0.35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</row>
    <row r="579" spans="2:38" ht="15.75" customHeight="1" x14ac:dyDescent="0.35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</row>
    <row r="580" spans="2:38" ht="15.75" customHeight="1" x14ac:dyDescent="0.35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</row>
    <row r="581" spans="2:38" ht="15.75" customHeight="1" x14ac:dyDescent="0.35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</row>
    <row r="582" spans="2:38" ht="15.75" customHeight="1" x14ac:dyDescent="0.35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</row>
    <row r="583" spans="2:38" ht="15.75" customHeight="1" x14ac:dyDescent="0.35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</row>
    <row r="584" spans="2:38" ht="15.75" customHeight="1" x14ac:dyDescent="0.35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</row>
    <row r="585" spans="2:38" ht="15.75" customHeight="1" x14ac:dyDescent="0.3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</row>
    <row r="586" spans="2:38" ht="15.75" customHeight="1" x14ac:dyDescent="0.35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</row>
    <row r="587" spans="2:38" ht="15.75" customHeight="1" x14ac:dyDescent="0.35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</row>
    <row r="588" spans="2:38" ht="15.75" customHeight="1" x14ac:dyDescent="0.35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</row>
    <row r="589" spans="2:38" ht="15.75" customHeight="1" x14ac:dyDescent="0.35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</row>
    <row r="590" spans="2:38" ht="15.75" customHeight="1" x14ac:dyDescent="0.35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</row>
    <row r="591" spans="2:38" ht="15.75" customHeight="1" x14ac:dyDescent="0.35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</row>
    <row r="592" spans="2:38" ht="15.75" customHeight="1" x14ac:dyDescent="0.35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</row>
    <row r="593" spans="2:38" ht="15.75" customHeight="1" x14ac:dyDescent="0.35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</row>
    <row r="594" spans="2:38" ht="15.75" customHeight="1" x14ac:dyDescent="0.35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</row>
    <row r="595" spans="2:38" ht="15.75" customHeight="1" x14ac:dyDescent="0.3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</row>
    <row r="596" spans="2:38" ht="15.75" customHeight="1" x14ac:dyDescent="0.35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</row>
    <row r="597" spans="2:38" ht="15.75" customHeight="1" x14ac:dyDescent="0.35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</row>
    <row r="598" spans="2:38" ht="15.75" customHeight="1" x14ac:dyDescent="0.35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</row>
    <row r="599" spans="2:38" ht="15.75" customHeight="1" x14ac:dyDescent="0.35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</row>
    <row r="600" spans="2:38" ht="15.75" customHeight="1" x14ac:dyDescent="0.35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</row>
    <row r="601" spans="2:38" ht="15.75" customHeight="1" x14ac:dyDescent="0.35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</row>
    <row r="602" spans="2:38" ht="15.75" customHeight="1" x14ac:dyDescent="0.35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</row>
    <row r="603" spans="2:38" ht="15.75" customHeight="1" x14ac:dyDescent="0.35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</row>
    <row r="604" spans="2:38" ht="15.75" customHeight="1" x14ac:dyDescent="0.35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</row>
    <row r="605" spans="2:38" ht="15.75" customHeight="1" x14ac:dyDescent="0.3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</row>
    <row r="606" spans="2:38" ht="15.75" customHeight="1" x14ac:dyDescent="0.35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</row>
    <row r="607" spans="2:38" ht="15.75" customHeight="1" x14ac:dyDescent="0.35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</row>
    <row r="608" spans="2:38" ht="15.75" customHeight="1" x14ac:dyDescent="0.35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</row>
    <row r="609" spans="2:38" ht="15.75" customHeight="1" x14ac:dyDescent="0.35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</row>
    <row r="610" spans="2:38" ht="15.75" customHeight="1" x14ac:dyDescent="0.35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</row>
    <row r="611" spans="2:38" ht="15.75" customHeight="1" x14ac:dyDescent="0.35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</row>
    <row r="612" spans="2:38" ht="15.75" customHeight="1" x14ac:dyDescent="0.35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</row>
    <row r="613" spans="2:38" ht="15.75" customHeight="1" x14ac:dyDescent="0.35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</row>
    <row r="614" spans="2:38" ht="15.75" customHeight="1" x14ac:dyDescent="0.35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</row>
    <row r="615" spans="2:38" ht="15.75" customHeight="1" x14ac:dyDescent="0.3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</row>
    <row r="616" spans="2:38" ht="15.75" customHeight="1" x14ac:dyDescent="0.35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</row>
    <row r="617" spans="2:38" ht="15.75" customHeight="1" x14ac:dyDescent="0.35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</row>
    <row r="618" spans="2:38" ht="15.75" customHeight="1" x14ac:dyDescent="0.35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</row>
    <row r="619" spans="2:38" ht="15.75" customHeight="1" x14ac:dyDescent="0.35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</row>
    <row r="620" spans="2:38" ht="15.75" customHeight="1" x14ac:dyDescent="0.35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</row>
    <row r="621" spans="2:38" ht="15.75" customHeight="1" x14ac:dyDescent="0.35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</row>
    <row r="622" spans="2:38" ht="15.75" customHeight="1" x14ac:dyDescent="0.35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</row>
    <row r="623" spans="2:38" ht="15.75" customHeight="1" x14ac:dyDescent="0.35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</row>
    <row r="624" spans="2:38" ht="15.75" customHeight="1" x14ac:dyDescent="0.35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</row>
    <row r="625" spans="2:38" ht="15.75" customHeight="1" x14ac:dyDescent="0.3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</row>
    <row r="626" spans="2:38" ht="15.75" customHeight="1" x14ac:dyDescent="0.35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</row>
    <row r="627" spans="2:38" ht="15.75" customHeight="1" x14ac:dyDescent="0.35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</row>
    <row r="628" spans="2:38" ht="15.75" customHeight="1" x14ac:dyDescent="0.35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</row>
    <row r="629" spans="2:38" ht="15.75" customHeight="1" x14ac:dyDescent="0.35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</row>
    <row r="630" spans="2:38" ht="15.75" customHeight="1" x14ac:dyDescent="0.35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</row>
    <row r="631" spans="2:38" ht="15.75" customHeight="1" x14ac:dyDescent="0.35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</row>
    <row r="632" spans="2:38" ht="15.75" customHeight="1" x14ac:dyDescent="0.35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</row>
    <row r="633" spans="2:38" ht="15.75" customHeight="1" x14ac:dyDescent="0.35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</row>
    <row r="634" spans="2:38" ht="15.75" customHeight="1" x14ac:dyDescent="0.35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</row>
    <row r="635" spans="2:38" ht="15.75" customHeight="1" x14ac:dyDescent="0.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</row>
    <row r="636" spans="2:38" ht="15.75" customHeight="1" x14ac:dyDescent="0.35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</row>
    <row r="637" spans="2:38" ht="15.75" customHeight="1" x14ac:dyDescent="0.35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</row>
    <row r="638" spans="2:38" ht="15.75" customHeight="1" x14ac:dyDescent="0.35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</row>
    <row r="639" spans="2:38" ht="15.75" customHeight="1" x14ac:dyDescent="0.35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</row>
    <row r="640" spans="2:38" ht="15.75" customHeight="1" x14ac:dyDescent="0.35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</row>
    <row r="641" spans="2:38" ht="15.75" customHeight="1" x14ac:dyDescent="0.35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</row>
    <row r="642" spans="2:38" ht="15.75" customHeight="1" x14ac:dyDescent="0.35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</row>
    <row r="643" spans="2:38" ht="15.75" customHeight="1" x14ac:dyDescent="0.35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</row>
    <row r="644" spans="2:38" ht="15.75" customHeight="1" x14ac:dyDescent="0.35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</row>
    <row r="645" spans="2:38" ht="15.75" customHeight="1" x14ac:dyDescent="0.3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</row>
    <row r="646" spans="2:38" ht="15.75" customHeight="1" x14ac:dyDescent="0.35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</row>
    <row r="647" spans="2:38" ht="15.75" customHeight="1" x14ac:dyDescent="0.35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</row>
    <row r="648" spans="2:38" ht="15.75" customHeight="1" x14ac:dyDescent="0.35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</row>
    <row r="649" spans="2:38" ht="15.75" customHeight="1" x14ac:dyDescent="0.35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</row>
    <row r="650" spans="2:38" ht="15.75" customHeight="1" x14ac:dyDescent="0.35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</row>
    <row r="651" spans="2:38" ht="15.75" customHeight="1" x14ac:dyDescent="0.35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</row>
    <row r="652" spans="2:38" ht="15.75" customHeight="1" x14ac:dyDescent="0.35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</row>
    <row r="653" spans="2:38" ht="15.75" customHeight="1" x14ac:dyDescent="0.35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</row>
    <row r="654" spans="2:38" ht="15.75" customHeight="1" x14ac:dyDescent="0.35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</row>
    <row r="655" spans="2:38" ht="15.75" customHeight="1" x14ac:dyDescent="0.3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</row>
    <row r="656" spans="2:38" ht="15.75" customHeight="1" x14ac:dyDescent="0.35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</row>
    <row r="657" spans="2:38" ht="15.75" customHeight="1" x14ac:dyDescent="0.35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</row>
    <row r="658" spans="2:38" ht="15.75" customHeight="1" x14ac:dyDescent="0.35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</row>
    <row r="659" spans="2:38" ht="15.75" customHeight="1" x14ac:dyDescent="0.35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</row>
    <row r="660" spans="2:38" ht="15.75" customHeight="1" x14ac:dyDescent="0.35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</row>
    <row r="661" spans="2:38" ht="15.75" customHeight="1" x14ac:dyDescent="0.35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</row>
    <row r="662" spans="2:38" ht="15.75" customHeight="1" x14ac:dyDescent="0.35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</row>
    <row r="663" spans="2:38" ht="15.75" customHeight="1" x14ac:dyDescent="0.35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</row>
    <row r="664" spans="2:38" ht="15.75" customHeight="1" x14ac:dyDescent="0.35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</row>
    <row r="665" spans="2:38" ht="15.75" customHeight="1" x14ac:dyDescent="0.3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</row>
    <row r="666" spans="2:38" ht="15.75" customHeight="1" x14ac:dyDescent="0.35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</row>
    <row r="667" spans="2:38" ht="15.75" customHeight="1" x14ac:dyDescent="0.35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</row>
    <row r="668" spans="2:38" ht="15.75" customHeight="1" x14ac:dyDescent="0.35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</row>
    <row r="669" spans="2:38" ht="15.75" customHeight="1" x14ac:dyDescent="0.35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</row>
    <row r="670" spans="2:38" ht="15.75" customHeight="1" x14ac:dyDescent="0.35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</row>
    <row r="671" spans="2:38" ht="15.75" customHeight="1" x14ac:dyDescent="0.35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</row>
    <row r="672" spans="2:38" ht="15.75" customHeight="1" x14ac:dyDescent="0.35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</row>
    <row r="673" spans="2:38" ht="15.75" customHeight="1" x14ac:dyDescent="0.35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</row>
    <row r="674" spans="2:38" ht="15.75" customHeight="1" x14ac:dyDescent="0.35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</row>
    <row r="675" spans="2:38" ht="15.75" customHeight="1" x14ac:dyDescent="0.3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</row>
    <row r="676" spans="2:38" ht="15.75" customHeight="1" x14ac:dyDescent="0.35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</row>
    <row r="677" spans="2:38" ht="15.75" customHeight="1" x14ac:dyDescent="0.35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</row>
    <row r="678" spans="2:38" ht="15.75" customHeight="1" x14ac:dyDescent="0.35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</row>
    <row r="679" spans="2:38" ht="15.75" customHeight="1" x14ac:dyDescent="0.35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</row>
    <row r="680" spans="2:38" ht="15.75" customHeight="1" x14ac:dyDescent="0.35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</row>
    <row r="681" spans="2:38" ht="15.75" customHeight="1" x14ac:dyDescent="0.35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</row>
    <row r="682" spans="2:38" ht="15.75" customHeight="1" x14ac:dyDescent="0.35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</row>
    <row r="683" spans="2:38" ht="15.75" customHeight="1" x14ac:dyDescent="0.35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</row>
    <row r="684" spans="2:38" ht="15.75" customHeight="1" x14ac:dyDescent="0.35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</row>
    <row r="685" spans="2:38" ht="15.75" customHeight="1" x14ac:dyDescent="0.3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</row>
    <row r="686" spans="2:38" ht="15.75" customHeight="1" x14ac:dyDescent="0.35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</row>
    <row r="687" spans="2:38" ht="15.75" customHeight="1" x14ac:dyDescent="0.35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</row>
    <row r="688" spans="2:38" ht="15.75" customHeight="1" x14ac:dyDescent="0.35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</row>
    <row r="689" spans="2:38" ht="15.75" customHeight="1" x14ac:dyDescent="0.35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</row>
    <row r="690" spans="2:38" ht="15.75" customHeight="1" x14ac:dyDescent="0.35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</row>
    <row r="691" spans="2:38" ht="15.75" customHeight="1" x14ac:dyDescent="0.35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</row>
    <row r="692" spans="2:38" ht="15.75" customHeight="1" x14ac:dyDescent="0.35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</row>
    <row r="693" spans="2:38" ht="15.75" customHeight="1" x14ac:dyDescent="0.35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</row>
    <row r="694" spans="2:38" ht="15.75" customHeight="1" x14ac:dyDescent="0.35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</row>
    <row r="695" spans="2:38" ht="15.75" customHeight="1" x14ac:dyDescent="0.3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</row>
    <row r="696" spans="2:38" ht="15.75" customHeight="1" x14ac:dyDescent="0.35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</row>
    <row r="697" spans="2:38" ht="15.75" customHeight="1" x14ac:dyDescent="0.35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</row>
    <row r="698" spans="2:38" ht="15.75" customHeight="1" x14ac:dyDescent="0.35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</row>
    <row r="699" spans="2:38" ht="15.75" customHeight="1" x14ac:dyDescent="0.35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</row>
    <row r="700" spans="2:38" ht="15.75" customHeight="1" x14ac:dyDescent="0.35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</row>
    <row r="701" spans="2:38" ht="15.75" customHeight="1" x14ac:dyDescent="0.35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</row>
    <row r="702" spans="2:38" ht="15.75" customHeight="1" x14ac:dyDescent="0.35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</row>
    <row r="703" spans="2:38" ht="15.75" customHeight="1" x14ac:dyDescent="0.35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</row>
    <row r="704" spans="2:38" ht="15.75" customHeight="1" x14ac:dyDescent="0.35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</row>
    <row r="705" spans="2:38" ht="15.75" customHeight="1" x14ac:dyDescent="0.3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</row>
    <row r="706" spans="2:38" ht="15.75" customHeight="1" x14ac:dyDescent="0.35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</row>
    <row r="707" spans="2:38" ht="15.75" customHeight="1" x14ac:dyDescent="0.35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</row>
    <row r="708" spans="2:38" ht="15.75" customHeight="1" x14ac:dyDescent="0.35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</row>
    <row r="709" spans="2:38" ht="15.75" customHeight="1" x14ac:dyDescent="0.35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</row>
    <row r="710" spans="2:38" ht="15.75" customHeight="1" x14ac:dyDescent="0.35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</row>
    <row r="711" spans="2:38" ht="15.75" customHeight="1" x14ac:dyDescent="0.35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</row>
    <row r="712" spans="2:38" ht="15.75" customHeight="1" x14ac:dyDescent="0.35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</row>
    <row r="713" spans="2:38" ht="15.75" customHeight="1" x14ac:dyDescent="0.35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</row>
    <row r="714" spans="2:38" ht="15.75" customHeight="1" x14ac:dyDescent="0.35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</row>
    <row r="715" spans="2:38" ht="15.75" customHeight="1" x14ac:dyDescent="0.3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</row>
    <row r="716" spans="2:38" ht="15.75" customHeight="1" x14ac:dyDescent="0.35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</row>
    <row r="717" spans="2:38" ht="15.75" customHeight="1" x14ac:dyDescent="0.35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</row>
    <row r="718" spans="2:38" ht="15.75" customHeight="1" x14ac:dyDescent="0.35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</row>
    <row r="719" spans="2:38" ht="15.75" customHeight="1" x14ac:dyDescent="0.35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</row>
    <row r="720" spans="2:38" ht="15.75" customHeight="1" x14ac:dyDescent="0.35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</row>
    <row r="721" spans="2:38" ht="15.75" customHeight="1" x14ac:dyDescent="0.35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</row>
    <row r="722" spans="2:38" ht="15.75" customHeight="1" x14ac:dyDescent="0.35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</row>
    <row r="723" spans="2:38" ht="15.75" customHeight="1" x14ac:dyDescent="0.35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</row>
    <row r="724" spans="2:38" ht="15.75" customHeight="1" x14ac:dyDescent="0.35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</row>
    <row r="725" spans="2:38" ht="15.75" customHeight="1" x14ac:dyDescent="0.3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</row>
    <row r="726" spans="2:38" ht="15.75" customHeight="1" x14ac:dyDescent="0.35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</row>
    <row r="727" spans="2:38" ht="15.75" customHeight="1" x14ac:dyDescent="0.35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</row>
    <row r="728" spans="2:38" ht="15.75" customHeight="1" x14ac:dyDescent="0.35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</row>
    <row r="729" spans="2:38" ht="15.75" customHeight="1" x14ac:dyDescent="0.35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</row>
    <row r="730" spans="2:38" ht="15.75" customHeight="1" x14ac:dyDescent="0.35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</row>
    <row r="731" spans="2:38" ht="15.75" customHeight="1" x14ac:dyDescent="0.35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</row>
    <row r="732" spans="2:38" ht="15.75" customHeight="1" x14ac:dyDescent="0.35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</row>
    <row r="733" spans="2:38" ht="15.75" customHeight="1" x14ac:dyDescent="0.35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</row>
    <row r="734" spans="2:38" ht="15.75" customHeight="1" x14ac:dyDescent="0.35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</row>
    <row r="735" spans="2:38" ht="15.75" customHeight="1" x14ac:dyDescent="0.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</row>
    <row r="736" spans="2:38" ht="15.75" customHeight="1" x14ac:dyDescent="0.35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</row>
    <row r="737" spans="2:38" ht="15.75" customHeight="1" x14ac:dyDescent="0.35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</row>
    <row r="738" spans="2:38" ht="15.75" customHeight="1" x14ac:dyDescent="0.35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</row>
    <row r="739" spans="2:38" ht="15.75" customHeight="1" x14ac:dyDescent="0.35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</row>
    <row r="740" spans="2:38" ht="15.75" customHeight="1" x14ac:dyDescent="0.35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</row>
    <row r="741" spans="2:38" ht="15.75" customHeight="1" x14ac:dyDescent="0.35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</row>
    <row r="742" spans="2:38" ht="15.75" customHeight="1" x14ac:dyDescent="0.35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</row>
    <row r="743" spans="2:38" ht="15.75" customHeight="1" x14ac:dyDescent="0.35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</row>
    <row r="744" spans="2:38" ht="15.75" customHeight="1" x14ac:dyDescent="0.35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</row>
    <row r="745" spans="2:38" ht="15.75" customHeight="1" x14ac:dyDescent="0.3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</row>
    <row r="746" spans="2:38" ht="15.75" customHeight="1" x14ac:dyDescent="0.35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</row>
    <row r="747" spans="2:38" ht="15.75" customHeight="1" x14ac:dyDescent="0.35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</row>
    <row r="748" spans="2:38" ht="15.75" customHeight="1" x14ac:dyDescent="0.35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</row>
    <row r="749" spans="2:38" ht="15.75" customHeight="1" x14ac:dyDescent="0.35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</row>
    <row r="750" spans="2:38" ht="15.75" customHeight="1" x14ac:dyDescent="0.35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</row>
    <row r="751" spans="2:38" ht="15.75" customHeight="1" x14ac:dyDescent="0.35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</row>
    <row r="752" spans="2:38" ht="15.75" customHeight="1" x14ac:dyDescent="0.35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</row>
    <row r="753" spans="2:38" ht="15.75" customHeight="1" x14ac:dyDescent="0.35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</row>
    <row r="754" spans="2:38" ht="15.75" customHeight="1" x14ac:dyDescent="0.35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</row>
    <row r="755" spans="2:38" ht="15.75" customHeight="1" x14ac:dyDescent="0.3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</row>
    <row r="756" spans="2:38" ht="15.75" customHeight="1" x14ac:dyDescent="0.35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</row>
    <row r="757" spans="2:38" ht="15.75" customHeight="1" x14ac:dyDescent="0.35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</row>
    <row r="758" spans="2:38" ht="15.75" customHeight="1" x14ac:dyDescent="0.35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</row>
    <row r="759" spans="2:38" ht="15.75" customHeight="1" x14ac:dyDescent="0.35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</row>
    <row r="760" spans="2:38" ht="15.75" customHeight="1" x14ac:dyDescent="0.35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</row>
    <row r="761" spans="2:38" ht="15.75" customHeight="1" x14ac:dyDescent="0.35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</row>
    <row r="762" spans="2:38" ht="15.75" customHeight="1" x14ac:dyDescent="0.35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</row>
    <row r="763" spans="2:38" ht="15.75" customHeight="1" x14ac:dyDescent="0.35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</row>
    <row r="764" spans="2:38" ht="15.75" customHeight="1" x14ac:dyDescent="0.35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</row>
    <row r="765" spans="2:38" ht="15.75" customHeight="1" x14ac:dyDescent="0.3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</row>
    <row r="766" spans="2:38" ht="15.75" customHeight="1" x14ac:dyDescent="0.35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</row>
    <row r="767" spans="2:38" ht="15.75" customHeight="1" x14ac:dyDescent="0.35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</row>
    <row r="768" spans="2:38" ht="15.75" customHeight="1" x14ac:dyDescent="0.35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</row>
    <row r="769" spans="2:38" ht="15.75" customHeight="1" x14ac:dyDescent="0.35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</row>
    <row r="770" spans="2:38" ht="15.75" customHeight="1" x14ac:dyDescent="0.35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</row>
    <row r="771" spans="2:38" ht="15.75" customHeight="1" x14ac:dyDescent="0.35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</row>
    <row r="772" spans="2:38" ht="15.75" customHeight="1" x14ac:dyDescent="0.35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</row>
    <row r="773" spans="2:38" ht="15.75" customHeight="1" x14ac:dyDescent="0.35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</row>
    <row r="774" spans="2:38" ht="15.75" customHeight="1" x14ac:dyDescent="0.35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</row>
    <row r="775" spans="2:38" ht="15.75" customHeight="1" x14ac:dyDescent="0.3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</row>
    <row r="776" spans="2:38" ht="15.75" customHeight="1" x14ac:dyDescent="0.35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</row>
    <row r="777" spans="2:38" ht="15.75" customHeight="1" x14ac:dyDescent="0.35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</row>
    <row r="778" spans="2:38" ht="15.75" customHeight="1" x14ac:dyDescent="0.35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</row>
    <row r="779" spans="2:38" ht="15.75" customHeight="1" x14ac:dyDescent="0.35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</row>
    <row r="780" spans="2:38" ht="15.75" customHeight="1" x14ac:dyDescent="0.35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</row>
    <row r="781" spans="2:38" ht="15.75" customHeight="1" x14ac:dyDescent="0.35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</row>
    <row r="782" spans="2:38" ht="15.75" customHeight="1" x14ac:dyDescent="0.35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</row>
    <row r="783" spans="2:38" ht="15.75" customHeight="1" x14ac:dyDescent="0.35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</row>
    <row r="784" spans="2:38" ht="15.75" customHeight="1" x14ac:dyDescent="0.35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</row>
    <row r="785" spans="2:38" ht="15.75" customHeight="1" x14ac:dyDescent="0.3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</row>
    <row r="786" spans="2:38" ht="15.75" customHeight="1" x14ac:dyDescent="0.35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</row>
    <row r="787" spans="2:38" ht="15.75" customHeight="1" x14ac:dyDescent="0.35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</row>
    <row r="788" spans="2:38" ht="15.75" customHeight="1" x14ac:dyDescent="0.35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</row>
    <row r="789" spans="2:38" ht="15.75" customHeight="1" x14ac:dyDescent="0.35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</row>
    <row r="790" spans="2:38" ht="15.75" customHeight="1" x14ac:dyDescent="0.35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</row>
    <row r="791" spans="2:38" ht="15.75" customHeight="1" x14ac:dyDescent="0.35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</row>
    <row r="792" spans="2:38" ht="15.75" customHeight="1" x14ac:dyDescent="0.35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</row>
    <row r="793" spans="2:38" ht="15.75" customHeight="1" x14ac:dyDescent="0.35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</row>
    <row r="794" spans="2:38" ht="15.75" customHeight="1" x14ac:dyDescent="0.35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</row>
    <row r="795" spans="2:38" ht="15.75" customHeight="1" x14ac:dyDescent="0.3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</row>
    <row r="796" spans="2:38" ht="15.75" customHeight="1" x14ac:dyDescent="0.35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</row>
    <row r="797" spans="2:38" ht="15.75" customHeight="1" x14ac:dyDescent="0.35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</row>
    <row r="798" spans="2:38" ht="15.75" customHeight="1" x14ac:dyDescent="0.35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</row>
    <row r="799" spans="2:38" ht="15.75" customHeight="1" x14ac:dyDescent="0.35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</row>
    <row r="800" spans="2:38" ht="15.75" customHeight="1" x14ac:dyDescent="0.35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</row>
    <row r="801" spans="2:38" ht="15.75" customHeight="1" x14ac:dyDescent="0.35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</row>
    <row r="802" spans="2:38" ht="15.75" customHeight="1" x14ac:dyDescent="0.35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</row>
    <row r="803" spans="2:38" ht="15.75" customHeight="1" x14ac:dyDescent="0.35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</row>
    <row r="804" spans="2:38" ht="15.75" customHeight="1" x14ac:dyDescent="0.35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</row>
    <row r="805" spans="2:38" ht="15.75" customHeight="1" x14ac:dyDescent="0.3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</row>
    <row r="806" spans="2:38" ht="15.75" customHeight="1" x14ac:dyDescent="0.35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</row>
    <row r="807" spans="2:38" ht="15.75" customHeight="1" x14ac:dyDescent="0.35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</row>
    <row r="808" spans="2:38" ht="15.75" customHeight="1" x14ac:dyDescent="0.35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</row>
    <row r="809" spans="2:38" ht="15.75" customHeight="1" x14ac:dyDescent="0.35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</row>
    <row r="810" spans="2:38" ht="15.75" customHeight="1" x14ac:dyDescent="0.35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</row>
    <row r="811" spans="2:38" ht="15.75" customHeight="1" x14ac:dyDescent="0.35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</row>
    <row r="812" spans="2:38" ht="15.75" customHeight="1" x14ac:dyDescent="0.35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</row>
    <row r="813" spans="2:38" ht="15.75" customHeight="1" x14ac:dyDescent="0.35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</row>
    <row r="814" spans="2:38" ht="15.75" customHeight="1" x14ac:dyDescent="0.35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</row>
    <row r="815" spans="2:38" ht="15.75" customHeight="1" x14ac:dyDescent="0.3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</row>
    <row r="816" spans="2:38" ht="15.75" customHeight="1" x14ac:dyDescent="0.35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</row>
    <row r="817" spans="2:38" ht="15.75" customHeight="1" x14ac:dyDescent="0.35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</row>
    <row r="818" spans="2:38" ht="15.75" customHeight="1" x14ac:dyDescent="0.35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</row>
    <row r="819" spans="2:38" ht="15.75" customHeight="1" x14ac:dyDescent="0.35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</row>
    <row r="820" spans="2:38" ht="15.75" customHeight="1" x14ac:dyDescent="0.35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</row>
    <row r="821" spans="2:38" ht="15.75" customHeight="1" x14ac:dyDescent="0.35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</row>
    <row r="822" spans="2:38" ht="15.75" customHeight="1" x14ac:dyDescent="0.35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</row>
    <row r="823" spans="2:38" ht="15.75" customHeight="1" x14ac:dyDescent="0.35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</row>
    <row r="824" spans="2:38" ht="15.75" customHeight="1" x14ac:dyDescent="0.35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</row>
    <row r="825" spans="2:38" ht="15.75" customHeight="1" x14ac:dyDescent="0.3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</row>
    <row r="826" spans="2:38" ht="15.75" customHeight="1" x14ac:dyDescent="0.35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</row>
    <row r="827" spans="2:38" ht="15.75" customHeight="1" x14ac:dyDescent="0.35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</row>
    <row r="828" spans="2:38" ht="15.75" customHeight="1" x14ac:dyDescent="0.35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</row>
    <row r="829" spans="2:38" ht="15.75" customHeight="1" x14ac:dyDescent="0.35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</row>
    <row r="830" spans="2:38" ht="15.75" customHeight="1" x14ac:dyDescent="0.35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</row>
    <row r="831" spans="2:38" ht="15.75" customHeight="1" x14ac:dyDescent="0.35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</row>
    <row r="832" spans="2:38" ht="15.75" customHeight="1" x14ac:dyDescent="0.35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</row>
    <row r="833" spans="2:38" ht="15.75" customHeight="1" x14ac:dyDescent="0.35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</row>
    <row r="834" spans="2:38" ht="15.75" customHeight="1" x14ac:dyDescent="0.35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</row>
    <row r="835" spans="2:38" ht="15.75" customHeight="1" x14ac:dyDescent="0.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</row>
    <row r="836" spans="2:38" ht="15.75" customHeight="1" x14ac:dyDescent="0.35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</row>
    <row r="837" spans="2:38" ht="15.75" customHeight="1" x14ac:dyDescent="0.35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</row>
    <row r="838" spans="2:38" ht="15.75" customHeight="1" x14ac:dyDescent="0.35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</row>
    <row r="839" spans="2:38" ht="15.75" customHeight="1" x14ac:dyDescent="0.35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</row>
    <row r="840" spans="2:38" ht="15.75" customHeight="1" x14ac:dyDescent="0.35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</row>
    <row r="841" spans="2:38" ht="15.75" customHeight="1" x14ac:dyDescent="0.35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</row>
    <row r="842" spans="2:38" ht="15.75" customHeight="1" x14ac:dyDescent="0.35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</row>
    <row r="843" spans="2:38" ht="15.75" customHeight="1" x14ac:dyDescent="0.35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</row>
    <row r="844" spans="2:38" ht="15.75" customHeight="1" x14ac:dyDescent="0.35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</row>
    <row r="845" spans="2:38" ht="15.75" customHeight="1" x14ac:dyDescent="0.3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</row>
    <row r="846" spans="2:38" ht="15.75" customHeight="1" x14ac:dyDescent="0.35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</row>
    <row r="847" spans="2:38" ht="15.75" customHeight="1" x14ac:dyDescent="0.35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</row>
    <row r="848" spans="2:38" ht="15.75" customHeight="1" x14ac:dyDescent="0.35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</row>
    <row r="849" spans="2:38" ht="15.75" customHeight="1" x14ac:dyDescent="0.35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</row>
    <row r="850" spans="2:38" ht="15.75" customHeight="1" x14ac:dyDescent="0.35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</row>
    <row r="851" spans="2:38" ht="15.75" customHeight="1" x14ac:dyDescent="0.35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</row>
    <row r="852" spans="2:38" ht="15.75" customHeight="1" x14ac:dyDescent="0.35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</row>
    <row r="853" spans="2:38" ht="15.75" customHeight="1" x14ac:dyDescent="0.35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</row>
    <row r="854" spans="2:38" ht="15.75" customHeight="1" x14ac:dyDescent="0.35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</row>
    <row r="855" spans="2:38" ht="15.75" customHeight="1" x14ac:dyDescent="0.3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</row>
    <row r="856" spans="2:38" ht="15.75" customHeight="1" x14ac:dyDescent="0.35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</row>
    <row r="857" spans="2:38" ht="15.75" customHeight="1" x14ac:dyDescent="0.35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</row>
    <row r="858" spans="2:38" ht="15.75" customHeight="1" x14ac:dyDescent="0.35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</row>
    <row r="859" spans="2:38" ht="15.75" customHeight="1" x14ac:dyDescent="0.35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</row>
    <row r="860" spans="2:38" ht="15.75" customHeight="1" x14ac:dyDescent="0.35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</row>
    <row r="861" spans="2:38" ht="15.75" customHeight="1" x14ac:dyDescent="0.35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</row>
    <row r="862" spans="2:38" ht="15.75" customHeight="1" x14ac:dyDescent="0.35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</row>
    <row r="863" spans="2:38" ht="15.75" customHeight="1" x14ac:dyDescent="0.35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</row>
    <row r="864" spans="2:38" ht="15.75" customHeight="1" x14ac:dyDescent="0.35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</row>
    <row r="865" spans="2:38" ht="15.75" customHeight="1" x14ac:dyDescent="0.3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</row>
    <row r="866" spans="2:38" ht="15.75" customHeight="1" x14ac:dyDescent="0.35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</row>
    <row r="867" spans="2:38" ht="15.75" customHeight="1" x14ac:dyDescent="0.35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</row>
    <row r="868" spans="2:38" ht="15.75" customHeight="1" x14ac:dyDescent="0.35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</row>
    <row r="869" spans="2:38" ht="15.75" customHeight="1" x14ac:dyDescent="0.35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</row>
    <row r="870" spans="2:38" ht="15.75" customHeight="1" x14ac:dyDescent="0.35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</row>
    <row r="871" spans="2:38" ht="15.75" customHeight="1" x14ac:dyDescent="0.35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</row>
    <row r="872" spans="2:38" ht="15.75" customHeight="1" x14ac:dyDescent="0.35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</row>
    <row r="873" spans="2:38" ht="15.75" customHeight="1" x14ac:dyDescent="0.35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</row>
    <row r="874" spans="2:38" ht="15.75" customHeight="1" x14ac:dyDescent="0.35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</row>
    <row r="875" spans="2:38" ht="15.75" customHeight="1" x14ac:dyDescent="0.3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</row>
    <row r="876" spans="2:38" ht="15.75" customHeight="1" x14ac:dyDescent="0.35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</row>
    <row r="877" spans="2:38" ht="15.75" customHeight="1" x14ac:dyDescent="0.35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</row>
    <row r="878" spans="2:38" ht="15.75" customHeight="1" x14ac:dyDescent="0.35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</row>
    <row r="879" spans="2:38" ht="15.75" customHeight="1" x14ac:dyDescent="0.35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</row>
    <row r="880" spans="2:38" ht="15.75" customHeight="1" x14ac:dyDescent="0.35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</row>
    <row r="881" spans="2:38" ht="15.75" customHeight="1" x14ac:dyDescent="0.35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</row>
    <row r="882" spans="2:38" ht="15.75" customHeight="1" x14ac:dyDescent="0.35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</row>
    <row r="883" spans="2:38" ht="15.75" customHeight="1" x14ac:dyDescent="0.35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</row>
    <row r="884" spans="2:38" ht="15.75" customHeight="1" x14ac:dyDescent="0.35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</row>
    <row r="885" spans="2:38" ht="15.75" customHeight="1" x14ac:dyDescent="0.3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</row>
    <row r="886" spans="2:38" ht="15.75" customHeight="1" x14ac:dyDescent="0.35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</row>
    <row r="887" spans="2:38" ht="15.75" customHeight="1" x14ac:dyDescent="0.35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</row>
    <row r="888" spans="2:38" ht="15.75" customHeight="1" x14ac:dyDescent="0.35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</row>
    <row r="889" spans="2:38" ht="15.75" customHeight="1" x14ac:dyDescent="0.35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</row>
    <row r="890" spans="2:38" ht="15.75" customHeight="1" x14ac:dyDescent="0.35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</row>
    <row r="891" spans="2:38" ht="15.75" customHeight="1" x14ac:dyDescent="0.35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</row>
    <row r="892" spans="2:38" ht="15.75" customHeight="1" x14ac:dyDescent="0.35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</row>
    <row r="893" spans="2:38" ht="15.75" customHeight="1" x14ac:dyDescent="0.35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</row>
    <row r="894" spans="2:38" ht="15.75" customHeight="1" x14ac:dyDescent="0.35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</row>
    <row r="895" spans="2:38" ht="15.75" customHeight="1" x14ac:dyDescent="0.3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</row>
    <row r="896" spans="2:38" ht="15.75" customHeight="1" x14ac:dyDescent="0.35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</row>
    <row r="897" spans="2:38" ht="15.75" customHeight="1" x14ac:dyDescent="0.35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</row>
    <row r="898" spans="2:38" ht="15.75" customHeight="1" x14ac:dyDescent="0.35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</row>
    <row r="899" spans="2:38" ht="15.75" customHeight="1" x14ac:dyDescent="0.35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</row>
    <row r="900" spans="2:38" ht="15.75" customHeight="1" x14ac:dyDescent="0.35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</row>
    <row r="901" spans="2:38" ht="15.75" customHeight="1" x14ac:dyDescent="0.35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</row>
    <row r="902" spans="2:38" ht="15.75" customHeight="1" x14ac:dyDescent="0.35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</row>
    <row r="903" spans="2:38" ht="15.75" customHeight="1" x14ac:dyDescent="0.35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</row>
    <row r="904" spans="2:38" ht="15.75" customHeight="1" x14ac:dyDescent="0.35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</row>
    <row r="905" spans="2:38" ht="15.75" customHeight="1" x14ac:dyDescent="0.3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</row>
    <row r="906" spans="2:38" ht="15.75" customHeight="1" x14ac:dyDescent="0.35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</row>
    <row r="907" spans="2:38" ht="15.75" customHeight="1" x14ac:dyDescent="0.35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</row>
    <row r="908" spans="2:38" ht="15.75" customHeight="1" x14ac:dyDescent="0.35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</row>
    <row r="909" spans="2:38" ht="15.75" customHeight="1" x14ac:dyDescent="0.35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</row>
    <row r="910" spans="2:38" ht="15.75" customHeight="1" x14ac:dyDescent="0.35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</row>
    <row r="911" spans="2:38" ht="15.75" customHeight="1" x14ac:dyDescent="0.35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</row>
    <row r="912" spans="2:38" ht="15.75" customHeight="1" x14ac:dyDescent="0.35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</row>
    <row r="913" spans="2:38" ht="15.75" customHeight="1" x14ac:dyDescent="0.35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</row>
    <row r="914" spans="2:38" ht="15.75" customHeight="1" x14ac:dyDescent="0.35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</row>
    <row r="915" spans="2:38" ht="15.75" customHeight="1" x14ac:dyDescent="0.3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</row>
    <row r="916" spans="2:38" ht="15.75" customHeight="1" x14ac:dyDescent="0.35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</row>
    <row r="917" spans="2:38" ht="15.75" customHeight="1" x14ac:dyDescent="0.35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</row>
    <row r="918" spans="2:38" ht="15.75" customHeight="1" x14ac:dyDescent="0.35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</row>
    <row r="919" spans="2:38" ht="15.75" customHeight="1" x14ac:dyDescent="0.35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</row>
    <row r="920" spans="2:38" ht="15.75" customHeight="1" x14ac:dyDescent="0.35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</row>
    <row r="921" spans="2:38" ht="15.75" customHeight="1" x14ac:dyDescent="0.35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</row>
    <row r="922" spans="2:38" ht="15.75" customHeight="1" x14ac:dyDescent="0.35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</row>
    <row r="923" spans="2:38" ht="15.75" customHeight="1" x14ac:dyDescent="0.35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</row>
    <row r="924" spans="2:38" ht="15.75" customHeight="1" x14ac:dyDescent="0.35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</row>
    <row r="925" spans="2:38" ht="15.75" customHeight="1" x14ac:dyDescent="0.3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</row>
    <row r="926" spans="2:38" ht="15.75" customHeight="1" x14ac:dyDescent="0.35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</row>
    <row r="927" spans="2:38" ht="15.75" customHeight="1" x14ac:dyDescent="0.35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</row>
    <row r="928" spans="2:38" ht="15.75" customHeight="1" x14ac:dyDescent="0.35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</row>
    <row r="929" spans="2:38" ht="15.75" customHeight="1" x14ac:dyDescent="0.35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</row>
    <row r="930" spans="2:38" ht="15.75" customHeight="1" x14ac:dyDescent="0.35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</row>
    <row r="931" spans="2:38" ht="15.75" customHeight="1" x14ac:dyDescent="0.35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</row>
    <row r="932" spans="2:38" ht="15.75" customHeight="1" x14ac:dyDescent="0.35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</row>
    <row r="933" spans="2:38" ht="15.75" customHeight="1" x14ac:dyDescent="0.35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</row>
    <row r="934" spans="2:38" ht="15.75" customHeight="1" x14ac:dyDescent="0.35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</row>
    <row r="935" spans="2:38" ht="15.75" customHeight="1" x14ac:dyDescent="0.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</row>
    <row r="936" spans="2:38" ht="15.75" customHeight="1" x14ac:dyDescent="0.35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</row>
    <row r="937" spans="2:38" ht="15.75" customHeight="1" x14ac:dyDescent="0.35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</row>
    <row r="938" spans="2:38" ht="15.75" customHeight="1" x14ac:dyDescent="0.35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</row>
    <row r="939" spans="2:38" ht="15.75" customHeight="1" x14ac:dyDescent="0.35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</row>
    <row r="940" spans="2:38" ht="15.75" customHeight="1" x14ac:dyDescent="0.35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</row>
    <row r="941" spans="2:38" ht="15.75" customHeight="1" x14ac:dyDescent="0.35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</row>
    <row r="942" spans="2:38" ht="15.75" customHeight="1" x14ac:dyDescent="0.35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</row>
    <row r="943" spans="2:38" ht="15.75" customHeight="1" x14ac:dyDescent="0.35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</row>
    <row r="944" spans="2:38" ht="15.75" customHeight="1" x14ac:dyDescent="0.35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</row>
    <row r="945" spans="2:38" ht="15.75" customHeight="1" x14ac:dyDescent="0.3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</row>
    <row r="946" spans="2:38" ht="15.75" customHeight="1" x14ac:dyDescent="0.35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</row>
    <row r="947" spans="2:38" ht="15.75" customHeight="1" x14ac:dyDescent="0.35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</row>
    <row r="948" spans="2:38" ht="15.75" customHeight="1" x14ac:dyDescent="0.35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</row>
    <row r="949" spans="2:38" ht="15.75" customHeight="1" x14ac:dyDescent="0.35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</row>
    <row r="950" spans="2:38" ht="15.75" customHeight="1" x14ac:dyDescent="0.35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</row>
    <row r="951" spans="2:38" ht="15.75" customHeight="1" x14ac:dyDescent="0.35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</row>
    <row r="952" spans="2:38" ht="15.75" customHeight="1" x14ac:dyDescent="0.35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</row>
    <row r="953" spans="2:38" ht="15.75" customHeight="1" x14ac:dyDescent="0.35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</row>
    <row r="954" spans="2:38" ht="15.75" customHeight="1" x14ac:dyDescent="0.35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</row>
    <row r="955" spans="2:38" ht="15.75" customHeight="1" x14ac:dyDescent="0.3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</row>
    <row r="956" spans="2:38" ht="15.75" customHeight="1" x14ac:dyDescent="0.35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</row>
    <row r="957" spans="2:38" ht="15.75" customHeight="1" x14ac:dyDescent="0.35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</row>
    <row r="958" spans="2:38" ht="15.75" customHeight="1" x14ac:dyDescent="0.35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</row>
    <row r="959" spans="2:38" ht="15.75" customHeight="1" x14ac:dyDescent="0.35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</row>
    <row r="960" spans="2:38" ht="15.75" customHeight="1" x14ac:dyDescent="0.35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</row>
    <row r="961" spans="2:38" ht="15.75" customHeight="1" x14ac:dyDescent="0.35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</row>
    <row r="962" spans="2:38" ht="15.75" customHeight="1" x14ac:dyDescent="0.35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</row>
    <row r="963" spans="2:38" ht="15.75" customHeight="1" x14ac:dyDescent="0.35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</row>
    <row r="964" spans="2:38" ht="15.75" customHeight="1" x14ac:dyDescent="0.35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</row>
    <row r="965" spans="2:38" ht="15.75" customHeight="1" x14ac:dyDescent="0.3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</row>
    <row r="966" spans="2:38" ht="15.75" customHeight="1" x14ac:dyDescent="0.35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</row>
    <row r="967" spans="2:38" ht="15.75" customHeight="1" x14ac:dyDescent="0.35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</row>
    <row r="968" spans="2:38" ht="15.75" customHeight="1" x14ac:dyDescent="0.35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</row>
    <row r="969" spans="2:38" ht="15.75" customHeight="1" x14ac:dyDescent="0.35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</row>
    <row r="970" spans="2:38" ht="15.75" customHeight="1" x14ac:dyDescent="0.35"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</row>
    <row r="971" spans="2:38" ht="15.75" customHeight="1" x14ac:dyDescent="0.35"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</row>
    <row r="972" spans="2:38" ht="15.75" customHeight="1" x14ac:dyDescent="0.35"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</row>
    <row r="973" spans="2:38" ht="15.75" customHeight="1" x14ac:dyDescent="0.35"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</row>
    <row r="974" spans="2:38" ht="15.75" customHeight="1" x14ac:dyDescent="0.35"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</row>
    <row r="975" spans="2:38" ht="15.75" customHeight="1" x14ac:dyDescent="0.35"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</row>
    <row r="976" spans="2:38" ht="15.75" customHeight="1" x14ac:dyDescent="0.35"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</row>
    <row r="977" spans="2:38" ht="15.75" customHeight="1" x14ac:dyDescent="0.35"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</row>
    <row r="978" spans="2:38" ht="15.75" customHeight="1" x14ac:dyDescent="0.35"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</row>
    <row r="979" spans="2:38" ht="15.75" customHeight="1" x14ac:dyDescent="0.35"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</row>
    <row r="980" spans="2:38" ht="15.75" customHeight="1" x14ac:dyDescent="0.35"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</row>
    <row r="981" spans="2:38" ht="15.75" customHeight="1" x14ac:dyDescent="0.35"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</row>
    <row r="982" spans="2:38" ht="15.75" customHeight="1" x14ac:dyDescent="0.35"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</row>
    <row r="983" spans="2:38" ht="15.75" customHeight="1" x14ac:dyDescent="0.35"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</row>
    <row r="984" spans="2:38" ht="15.75" customHeight="1" x14ac:dyDescent="0.35"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</row>
    <row r="985" spans="2:38" ht="15.75" customHeight="1" x14ac:dyDescent="0.35"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</row>
    <row r="986" spans="2:38" ht="15.75" customHeight="1" x14ac:dyDescent="0.35"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</row>
    <row r="987" spans="2:38" ht="15.75" customHeight="1" x14ac:dyDescent="0.35"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</row>
    <row r="988" spans="2:38" ht="15.75" customHeight="1" x14ac:dyDescent="0.35"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</row>
    <row r="989" spans="2:38" ht="15.75" customHeight="1" x14ac:dyDescent="0.35"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</row>
    <row r="990" spans="2:38" ht="15.75" customHeight="1" x14ac:dyDescent="0.35"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</row>
    <row r="991" spans="2:38" ht="15.75" customHeight="1" x14ac:dyDescent="0.35"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</row>
    <row r="992" spans="2:38" ht="15.75" customHeight="1" x14ac:dyDescent="0.35"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</row>
    <row r="993" spans="2:38" ht="15.75" customHeight="1" x14ac:dyDescent="0.35"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</row>
    <row r="994" spans="2:38" ht="15.75" customHeight="1" x14ac:dyDescent="0.35"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</row>
    <row r="995" spans="2:38" ht="15.75" customHeight="1" x14ac:dyDescent="0.35"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</row>
    <row r="996" spans="2:38" ht="15.75" customHeight="1" x14ac:dyDescent="0.35"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</row>
    <row r="997" spans="2:38" ht="15.75" customHeight="1" x14ac:dyDescent="0.35"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</row>
    <row r="998" spans="2:38" ht="15.75" customHeight="1" x14ac:dyDescent="0.35"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</row>
    <row r="999" spans="2:38" ht="15.75" customHeight="1" x14ac:dyDescent="0.35"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</row>
    <row r="1000" spans="2:38" ht="15.75" customHeight="1" x14ac:dyDescent="0.35"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</row>
  </sheetData>
  <pageMargins left="0.25" right="0.25" top="0.75" bottom="0.75" header="0" footer="0"/>
  <pageSetup orientation="portrait"/>
  <rowBreaks count="1" manualBreakCount="1">
    <brk id="121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zoomScale="85" zoomScaleNormal="85" workbookViewId="0">
      <selection activeCell="H3" sqref="H3"/>
    </sheetView>
  </sheetViews>
  <sheetFormatPr defaultColWidth="14.453125" defaultRowHeight="15" customHeight="1" x14ac:dyDescent="0.35"/>
  <cols>
    <col min="1" max="1" width="4.54296875" customWidth="1"/>
    <col min="2" max="2" width="41.1796875" customWidth="1"/>
    <col min="3" max="4" width="11.453125" customWidth="1"/>
    <col min="5" max="5" width="13.1796875" customWidth="1"/>
    <col min="6" max="6" width="11" customWidth="1"/>
    <col min="7" max="7" width="1.453125" customWidth="1"/>
    <col min="8" max="15" width="8.81640625" customWidth="1"/>
    <col min="16" max="26" width="8.81640625" style="78" customWidth="1"/>
  </cols>
  <sheetData>
    <row r="1" spans="1:15" ht="14.25" customHeight="1" x14ac:dyDescent="0.4">
      <c r="A1" s="4"/>
      <c r="B1" s="2"/>
      <c r="C1" s="450"/>
      <c r="D1" s="2"/>
      <c r="E1" s="2"/>
      <c r="F1" s="3"/>
      <c r="G1" s="78"/>
      <c r="H1" s="78"/>
      <c r="I1" s="78"/>
      <c r="J1" s="78"/>
      <c r="K1" s="78"/>
      <c r="L1" s="78"/>
      <c r="M1" s="78"/>
      <c r="N1" s="78"/>
      <c r="O1" s="78"/>
    </row>
    <row r="2" spans="1:15" ht="14.25" customHeight="1" x14ac:dyDescent="0.35">
      <c r="A2" s="7"/>
      <c r="B2" s="7"/>
      <c r="C2" s="7"/>
      <c r="D2" s="8"/>
      <c r="E2" s="8"/>
      <c r="F2" s="8"/>
      <c r="G2" s="78"/>
      <c r="H2" s="78"/>
      <c r="I2" s="78"/>
      <c r="J2" s="78"/>
      <c r="K2" s="78"/>
      <c r="L2" s="78"/>
      <c r="M2" s="78"/>
      <c r="N2" s="78"/>
      <c r="O2" s="78"/>
    </row>
    <row r="3" spans="1:15" ht="141" customHeight="1" x14ac:dyDescent="0.35">
      <c r="A3" s="8"/>
      <c r="B3" s="8"/>
      <c r="C3" s="8"/>
      <c r="D3" s="8"/>
      <c r="E3" s="8"/>
      <c r="F3" s="8"/>
      <c r="G3" s="8"/>
      <c r="H3" s="8"/>
      <c r="I3" s="8"/>
      <c r="N3" s="8"/>
      <c r="O3" s="8"/>
    </row>
    <row r="4" spans="1:15" ht="14.25" customHeight="1" x14ac:dyDescent="0.35">
      <c r="A4" s="8"/>
      <c r="B4" s="12" t="s">
        <v>331</v>
      </c>
      <c r="C4" s="74"/>
      <c r="D4" s="74"/>
      <c r="E4" s="74"/>
      <c r="F4" s="75"/>
      <c r="G4" s="8"/>
      <c r="H4" s="8"/>
      <c r="I4" s="8"/>
      <c r="N4" s="8"/>
      <c r="O4" s="8"/>
    </row>
    <row r="5" spans="1:15" ht="14.25" customHeight="1" x14ac:dyDescent="0.35">
      <c r="A5" s="8"/>
      <c r="B5" s="117"/>
      <c r="C5" s="8"/>
      <c r="D5" s="8"/>
      <c r="E5" s="8"/>
      <c r="F5" s="93"/>
      <c r="G5" s="8"/>
      <c r="H5" s="8"/>
      <c r="I5" s="8"/>
      <c r="N5" s="8"/>
      <c r="O5" s="8"/>
    </row>
    <row r="6" spans="1:15" ht="14.25" customHeight="1" x14ac:dyDescent="0.35">
      <c r="A6" s="8"/>
      <c r="B6" s="137"/>
      <c r="C6" s="138">
        <f>'Annual Cash Flows'!H6</f>
        <v>2025</v>
      </c>
      <c r="D6" s="138">
        <f>'Annual Cash Flows'!I6</f>
        <v>2026</v>
      </c>
      <c r="E6" s="138">
        <f>'Annual Cash Flows'!J6</f>
        <v>2027</v>
      </c>
      <c r="F6" s="139">
        <f>'Annual Cash Flows'!K6</f>
        <v>2028</v>
      </c>
      <c r="G6" s="8"/>
      <c r="H6" s="8"/>
      <c r="I6" s="8"/>
      <c r="N6" s="8"/>
      <c r="O6" s="8"/>
    </row>
    <row r="7" spans="1:15" ht="14.25" customHeight="1" x14ac:dyDescent="0.35">
      <c r="A7" s="8"/>
      <c r="B7" s="140" t="s">
        <v>332</v>
      </c>
      <c r="C7" s="79"/>
      <c r="D7" s="80"/>
      <c r="E7" s="80"/>
      <c r="F7" s="141"/>
      <c r="G7" s="8"/>
      <c r="H7" s="8"/>
      <c r="I7" s="8"/>
      <c r="N7" s="8"/>
      <c r="O7" s="8"/>
    </row>
    <row r="8" spans="1:15" ht="14.25" customHeight="1" x14ac:dyDescent="0.35">
      <c r="A8" s="8"/>
      <c r="B8" s="137"/>
      <c r="C8" s="79"/>
      <c r="D8" s="80"/>
      <c r="E8" s="80"/>
      <c r="F8" s="141"/>
      <c r="G8" s="8"/>
      <c r="H8" s="8"/>
      <c r="I8" s="8"/>
      <c r="N8" s="8"/>
      <c r="O8" s="8"/>
    </row>
    <row r="9" spans="1:15" ht="14.25" customHeight="1" x14ac:dyDescent="0.35">
      <c r="A9" s="8"/>
      <c r="B9" s="142" t="s">
        <v>333</v>
      </c>
      <c r="C9" s="81">
        <f>+'Annual Cash Flows'!H12</f>
        <v>0.5</v>
      </c>
      <c r="D9" s="81">
        <f>+'Annual Cash Flows'!I12</f>
        <v>0.57999999999999996</v>
      </c>
      <c r="E9" s="81">
        <f>+'Annual Cash Flows'!J12</f>
        <v>0.65</v>
      </c>
      <c r="F9" s="143">
        <f>+'Annual Cash Flows'!K12</f>
        <v>0.65</v>
      </c>
      <c r="G9" s="8"/>
      <c r="H9" s="8"/>
      <c r="I9" s="8"/>
      <c r="N9" s="8"/>
      <c r="O9" s="8"/>
    </row>
    <row r="10" spans="1:15" ht="14.25" customHeight="1" x14ac:dyDescent="0.35">
      <c r="A10" s="8"/>
      <c r="B10" s="144" t="s">
        <v>334</v>
      </c>
      <c r="C10" s="79"/>
      <c r="D10" s="82">
        <f t="shared" ref="D10:F10" si="0">+D9-C9</f>
        <v>7.999999999999996E-2</v>
      </c>
      <c r="E10" s="82">
        <f t="shared" si="0"/>
        <v>7.0000000000000062E-2</v>
      </c>
      <c r="F10" s="145">
        <f t="shared" si="0"/>
        <v>0</v>
      </c>
      <c r="G10" s="8"/>
      <c r="H10" s="8"/>
      <c r="I10" s="8"/>
      <c r="N10" s="8"/>
      <c r="O10" s="8"/>
    </row>
    <row r="11" spans="1:15" ht="14.25" customHeight="1" x14ac:dyDescent="0.35">
      <c r="A11" s="8"/>
      <c r="B11" s="146" t="s">
        <v>335</v>
      </c>
      <c r="C11" s="80">
        <f>+'Annual Cash Flows'!H14</f>
        <v>103</v>
      </c>
      <c r="D11" s="80">
        <f>+'Annual Cash Flows'!I14</f>
        <v>106.60499999999999</v>
      </c>
      <c r="E11" s="80">
        <f>+'Annual Cash Flows'!J14</f>
        <v>110.33617499999998</v>
      </c>
      <c r="F11" s="141">
        <f>+'Annual Cash Flows'!K14</f>
        <v>114.19794112499997</v>
      </c>
      <c r="G11" s="8"/>
      <c r="H11" s="8"/>
      <c r="I11" s="8"/>
      <c r="N11" s="8"/>
      <c r="O11" s="8"/>
    </row>
    <row r="12" spans="1:15" ht="14.25" customHeight="1" x14ac:dyDescent="0.35">
      <c r="A12" s="8"/>
      <c r="B12" s="144" t="s">
        <v>334</v>
      </c>
      <c r="C12" s="79"/>
      <c r="D12" s="83">
        <f t="shared" ref="D12:F12" si="1">+D11/C11-1</f>
        <v>3.499999999999992E-2</v>
      </c>
      <c r="E12" s="83">
        <f t="shared" si="1"/>
        <v>3.499999999999992E-2</v>
      </c>
      <c r="F12" s="147">
        <f t="shared" si="1"/>
        <v>3.499999999999992E-2</v>
      </c>
      <c r="G12" s="8"/>
      <c r="H12" s="8"/>
      <c r="I12" s="8"/>
      <c r="N12" s="8"/>
      <c r="O12" s="8"/>
    </row>
    <row r="13" spans="1:15" ht="14.25" customHeight="1" x14ac:dyDescent="0.35">
      <c r="A13" s="8"/>
      <c r="B13" s="142" t="s">
        <v>273</v>
      </c>
      <c r="C13" s="84">
        <f t="shared" ref="C13:F13" si="2">+C9*C11</f>
        <v>51.5</v>
      </c>
      <c r="D13" s="84">
        <f t="shared" si="2"/>
        <v>61.830899999999993</v>
      </c>
      <c r="E13" s="84">
        <f t="shared" si="2"/>
        <v>71.718513749999985</v>
      </c>
      <c r="F13" s="148">
        <f t="shared" si="2"/>
        <v>74.228661731249986</v>
      </c>
      <c r="G13" s="8"/>
      <c r="H13" s="8"/>
      <c r="I13" s="8"/>
      <c r="N13" s="8"/>
      <c r="O13" s="8"/>
    </row>
    <row r="14" spans="1:15" ht="14.25" customHeight="1" x14ac:dyDescent="0.35">
      <c r="A14" s="8"/>
      <c r="B14" s="144" t="s">
        <v>334</v>
      </c>
      <c r="C14" s="79"/>
      <c r="D14" s="83">
        <f t="shared" ref="D14:F14" si="3">+D13/C13-1</f>
        <v>0.20059999999999989</v>
      </c>
      <c r="E14" s="83">
        <f t="shared" si="3"/>
        <v>0.15991379310344822</v>
      </c>
      <c r="F14" s="147">
        <f t="shared" si="3"/>
        <v>3.499999999999992E-2</v>
      </c>
      <c r="G14" s="8"/>
      <c r="H14" s="8"/>
      <c r="I14" s="8"/>
      <c r="N14" s="8"/>
      <c r="O14" s="8"/>
    </row>
    <row r="15" spans="1:15" ht="14.25" customHeight="1" x14ac:dyDescent="0.35">
      <c r="A15" s="8"/>
      <c r="B15" s="149"/>
      <c r="C15" s="79"/>
      <c r="D15" s="83"/>
      <c r="E15" s="83"/>
      <c r="F15" s="147"/>
      <c r="G15" s="8"/>
      <c r="H15" s="8"/>
      <c r="I15" s="8"/>
      <c r="N15" s="8"/>
      <c r="O15" s="8"/>
    </row>
    <row r="16" spans="1:15" ht="14.25" customHeight="1" x14ac:dyDescent="0.35">
      <c r="A16" s="8"/>
      <c r="B16" s="188" t="s">
        <v>336</v>
      </c>
      <c r="D16" s="189"/>
      <c r="E16" s="189"/>
      <c r="F16" s="190"/>
      <c r="G16" s="8"/>
      <c r="H16" s="8"/>
      <c r="I16" s="8"/>
      <c r="N16" s="8"/>
      <c r="O16" s="8"/>
    </row>
    <row r="17" spans="1:15" ht="14.25" customHeight="1" x14ac:dyDescent="0.35">
      <c r="A17" s="8"/>
      <c r="B17" s="137"/>
      <c r="D17" s="189"/>
      <c r="E17" s="189"/>
      <c r="F17" s="190"/>
      <c r="G17" s="8"/>
      <c r="H17" s="8"/>
      <c r="I17" s="8"/>
      <c r="N17" s="8"/>
      <c r="O17" s="8"/>
    </row>
    <row r="18" spans="1:15" ht="14.25" customHeight="1" x14ac:dyDescent="0.35">
      <c r="A18" s="8"/>
      <c r="B18" s="142" t="s">
        <v>333</v>
      </c>
      <c r="C18" s="184">
        <v>0.75700000000000001</v>
      </c>
      <c r="D18" s="184">
        <v>0.76900000000000002</v>
      </c>
      <c r="E18" s="184">
        <v>0.75800000000000001</v>
      </c>
      <c r="F18" s="185">
        <v>0.76</v>
      </c>
      <c r="G18" s="8"/>
      <c r="H18" s="8"/>
      <c r="I18" s="8"/>
      <c r="J18" s="8"/>
      <c r="K18" s="8"/>
      <c r="L18" s="8"/>
      <c r="M18" s="8"/>
      <c r="N18" s="8"/>
      <c r="O18" s="8"/>
    </row>
    <row r="19" spans="1:15" ht="14.25" customHeight="1" x14ac:dyDescent="0.35">
      <c r="A19" s="8"/>
      <c r="B19" s="144" t="s">
        <v>334</v>
      </c>
      <c r="C19" s="79"/>
      <c r="D19" s="191">
        <f t="shared" ref="D19:F19" si="4">+D18-C18</f>
        <v>1.2000000000000011E-2</v>
      </c>
      <c r="E19" s="191">
        <f t="shared" si="4"/>
        <v>-1.100000000000001E-2</v>
      </c>
      <c r="F19" s="192">
        <f t="shared" si="4"/>
        <v>2.0000000000000018E-3</v>
      </c>
      <c r="G19" s="8"/>
      <c r="H19" s="8"/>
      <c r="I19" s="8"/>
      <c r="J19" s="8"/>
      <c r="K19" s="8"/>
      <c r="L19" s="8"/>
      <c r="M19" s="8"/>
      <c r="N19" s="8"/>
      <c r="O19" s="8"/>
    </row>
    <row r="20" spans="1:15" ht="14.25" customHeight="1" x14ac:dyDescent="0.35">
      <c r="A20" s="8"/>
      <c r="B20" s="146" t="s">
        <v>177</v>
      </c>
      <c r="C20" s="186">
        <v>230.91</v>
      </c>
      <c r="D20" s="186">
        <v>234.35</v>
      </c>
      <c r="E20" s="186">
        <v>236.24</v>
      </c>
      <c r="F20" s="187">
        <v>240.92</v>
      </c>
      <c r="G20" s="8"/>
      <c r="H20" s="8"/>
      <c r="I20" s="8"/>
      <c r="J20" s="8"/>
      <c r="K20" s="8"/>
      <c r="L20" s="8"/>
      <c r="M20" s="8"/>
      <c r="N20" s="8"/>
      <c r="O20" s="8"/>
    </row>
    <row r="21" spans="1:15" ht="14.25" customHeight="1" x14ac:dyDescent="0.35">
      <c r="A21" s="8"/>
      <c r="B21" s="144" t="s">
        <v>334</v>
      </c>
      <c r="C21" s="79"/>
      <c r="D21" s="193">
        <f t="shared" ref="D21:F21" si="5">+D20/C20-1</f>
        <v>1.4897579143389184E-2</v>
      </c>
      <c r="E21" s="193">
        <f t="shared" si="5"/>
        <v>8.0648602517603418E-3</v>
      </c>
      <c r="F21" s="194">
        <f t="shared" si="5"/>
        <v>1.9810362343379628E-2</v>
      </c>
      <c r="G21" s="8"/>
      <c r="H21" s="8"/>
      <c r="I21" s="8"/>
      <c r="J21" s="8"/>
      <c r="K21" s="8"/>
      <c r="L21" s="8"/>
      <c r="M21" s="8"/>
      <c r="N21" s="8"/>
      <c r="O21" s="8"/>
    </row>
    <row r="22" spans="1:15" ht="14.25" customHeight="1" x14ac:dyDescent="0.35">
      <c r="A22" s="8"/>
      <c r="B22" s="142" t="s">
        <v>273</v>
      </c>
      <c r="C22" s="80">
        <f t="shared" ref="C22:F22" si="6">+C18*C20</f>
        <v>174.79886999999999</v>
      </c>
      <c r="D22" s="80"/>
      <c r="E22" s="80">
        <f t="shared" si="6"/>
        <v>179.06992</v>
      </c>
      <c r="F22" s="141">
        <f t="shared" si="6"/>
        <v>183.0992</v>
      </c>
      <c r="G22" s="8"/>
      <c r="H22" s="8"/>
      <c r="I22" s="8"/>
      <c r="J22" s="8"/>
      <c r="K22" s="8"/>
      <c r="L22" s="8"/>
      <c r="M22" s="8"/>
      <c r="N22" s="8"/>
      <c r="O22" s="8"/>
    </row>
    <row r="23" spans="1:15" ht="14.25" customHeight="1" x14ac:dyDescent="0.35">
      <c r="A23" s="8"/>
      <c r="B23" s="144" t="s">
        <v>334</v>
      </c>
      <c r="C23" s="79"/>
      <c r="D23" s="83">
        <f t="shared" ref="D23:F23" si="7">+D22/C22-1</f>
        <v>-1</v>
      </c>
      <c r="E23" s="83" t="e">
        <f t="shared" si="7"/>
        <v>#DIV/0!</v>
      </c>
      <c r="F23" s="147">
        <f t="shared" si="7"/>
        <v>2.2501154856158889E-2</v>
      </c>
      <c r="G23" s="8"/>
      <c r="H23" s="8"/>
      <c r="I23" s="8"/>
      <c r="J23" s="8"/>
      <c r="K23" s="8"/>
      <c r="L23" s="8"/>
      <c r="M23" s="8"/>
      <c r="N23" s="8"/>
      <c r="O23" s="8"/>
    </row>
    <row r="24" spans="1:15" ht="14.25" customHeight="1" x14ac:dyDescent="0.35">
      <c r="A24" s="8"/>
      <c r="B24" s="92"/>
      <c r="C24" s="8"/>
      <c r="D24" s="8"/>
      <c r="E24" s="8"/>
      <c r="F24" s="93"/>
      <c r="G24" s="8"/>
      <c r="H24" s="8"/>
      <c r="I24" s="8"/>
      <c r="J24" s="8"/>
      <c r="K24" s="8"/>
      <c r="L24" s="8"/>
      <c r="M24" s="8"/>
      <c r="N24" s="8"/>
      <c r="O24" s="8"/>
    </row>
    <row r="25" spans="1:15" ht="14.25" customHeight="1" x14ac:dyDescent="0.35">
      <c r="A25" s="8"/>
      <c r="B25" s="140" t="s">
        <v>337</v>
      </c>
      <c r="C25" s="8"/>
      <c r="D25" s="8"/>
      <c r="E25" s="8"/>
      <c r="F25" s="93"/>
      <c r="G25" s="8"/>
      <c r="H25" s="8"/>
      <c r="I25" s="8"/>
      <c r="J25" s="8"/>
      <c r="K25" s="8"/>
      <c r="L25" s="8"/>
      <c r="M25" s="8"/>
      <c r="N25" s="8"/>
      <c r="O25" s="8"/>
    </row>
    <row r="26" spans="1:15" ht="14.25" customHeight="1" x14ac:dyDescent="0.35">
      <c r="A26" s="8"/>
      <c r="B26" s="92"/>
      <c r="C26" s="8"/>
      <c r="D26" s="8"/>
      <c r="E26" s="8"/>
      <c r="F26" s="93"/>
      <c r="G26" s="8"/>
      <c r="H26" s="8"/>
      <c r="I26" s="8"/>
      <c r="J26" s="8"/>
      <c r="K26" s="8"/>
      <c r="L26" s="8"/>
      <c r="M26" s="8"/>
      <c r="N26" s="8"/>
      <c r="O26" s="8"/>
    </row>
    <row r="27" spans="1:15" ht="14.25" customHeight="1" x14ac:dyDescent="0.35">
      <c r="A27" s="8"/>
      <c r="B27" s="92" t="s">
        <v>333</v>
      </c>
      <c r="C27" s="195">
        <f t="shared" ref="C27:F27" si="8">+C9/C18</f>
        <v>0.66050198150594452</v>
      </c>
      <c r="D27" s="195">
        <f t="shared" si="8"/>
        <v>0.75422626788036407</v>
      </c>
      <c r="E27" s="195">
        <f t="shared" si="8"/>
        <v>0.85751978891820579</v>
      </c>
      <c r="F27" s="196">
        <f t="shared" si="8"/>
        <v>0.85526315789473684</v>
      </c>
      <c r="G27" s="8"/>
      <c r="H27" s="8"/>
      <c r="I27" s="8"/>
      <c r="J27" s="8"/>
      <c r="K27" s="8"/>
      <c r="L27" s="8"/>
      <c r="M27" s="8"/>
      <c r="N27" s="8"/>
      <c r="O27" s="8"/>
    </row>
    <row r="28" spans="1:15" ht="14.25" customHeight="1" x14ac:dyDescent="0.35">
      <c r="A28" s="8"/>
      <c r="B28" s="92" t="s">
        <v>177</v>
      </c>
      <c r="C28" s="195">
        <f t="shared" ref="C28:F28" si="9">+C11/C20</f>
        <v>0.44606123597938591</v>
      </c>
      <c r="D28" s="195">
        <f t="shared" si="9"/>
        <v>0.45489652229571154</v>
      </c>
      <c r="E28" s="195">
        <f t="shared" si="9"/>
        <v>0.467051197934304</v>
      </c>
      <c r="F28" s="196">
        <f t="shared" si="9"/>
        <v>0.4740077250747135</v>
      </c>
      <c r="G28" s="8"/>
      <c r="H28" s="8"/>
      <c r="I28" s="8"/>
      <c r="J28" s="8"/>
      <c r="K28" s="8"/>
      <c r="L28" s="8"/>
      <c r="M28" s="8"/>
      <c r="N28" s="8"/>
      <c r="O28" s="8"/>
    </row>
    <row r="29" spans="1:15" ht="14.25" customHeight="1" x14ac:dyDescent="0.35">
      <c r="A29" s="8"/>
      <c r="B29" s="120" t="s">
        <v>273</v>
      </c>
      <c r="C29" s="197">
        <f t="shared" ref="C29:F29" si="10">+C13/C22</f>
        <v>0.29462433023737511</v>
      </c>
      <c r="D29" s="197" t="e">
        <f t="shared" si="10"/>
        <v>#DIV/0!</v>
      </c>
      <c r="E29" s="197">
        <f t="shared" si="10"/>
        <v>0.40050564466661953</v>
      </c>
      <c r="F29" s="198">
        <f t="shared" si="10"/>
        <v>0.40540134381389969</v>
      </c>
      <c r="G29" s="8"/>
      <c r="H29" s="8"/>
      <c r="I29" s="8"/>
      <c r="J29" s="8"/>
      <c r="K29" s="8"/>
      <c r="L29" s="8"/>
      <c r="M29" s="8"/>
      <c r="N29" s="8"/>
      <c r="O29" s="8"/>
    </row>
    <row r="30" spans="1:15" ht="14.25" customHeight="1" x14ac:dyDescent="0.3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4.25" customHeight="1" x14ac:dyDescent="0.35">
      <c r="A31" s="8"/>
      <c r="B31" s="199" t="s">
        <v>338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4.25" customHeight="1" x14ac:dyDescent="0.3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14.25" customHeight="1" x14ac:dyDescent="0.3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14.25" customHeight="1" x14ac:dyDescent="0.3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14.25" customHeight="1" x14ac:dyDescent="0.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14.25" customHeight="1" x14ac:dyDescent="0.3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4.25" customHeight="1" x14ac:dyDescent="0.3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14.25" customHeight="1" x14ac:dyDescent="0.3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14.25" customHeight="1" x14ac:dyDescent="0.3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</row>
    <row r="40" spans="1:15" ht="14.25" customHeight="1" x14ac:dyDescent="0.3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</row>
    <row r="41" spans="1:15" ht="14.25" customHeight="1" x14ac:dyDescent="0.3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</row>
    <row r="42" spans="1:15" ht="14.25" customHeight="1" x14ac:dyDescent="0.3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</row>
    <row r="43" spans="1:15" ht="14.25" customHeight="1" x14ac:dyDescent="0.3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</row>
    <row r="44" spans="1:15" ht="14.25" customHeight="1" x14ac:dyDescent="0.3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</row>
    <row r="45" spans="1:15" ht="14.25" customHeight="1" x14ac:dyDescent="0.3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</row>
    <row r="46" spans="1:15" ht="14.25" customHeight="1" x14ac:dyDescent="0.3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</row>
    <row r="47" spans="1:15" ht="14.25" customHeight="1" x14ac:dyDescent="0.3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</row>
    <row r="48" spans="1:15" ht="14.25" customHeight="1" x14ac:dyDescent="0.3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</row>
    <row r="49" spans="1:15" ht="14.25" customHeight="1" x14ac:dyDescent="0.3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</row>
    <row r="50" spans="1:15" ht="14.25" customHeight="1" x14ac:dyDescent="0.3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</row>
    <row r="51" spans="1:15" ht="14.25" customHeight="1" x14ac:dyDescent="0.3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</row>
    <row r="52" spans="1:15" ht="14.25" customHeight="1" x14ac:dyDescent="0.3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</row>
    <row r="53" spans="1:15" ht="14.25" customHeight="1" x14ac:dyDescent="0.3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</row>
    <row r="54" spans="1:15" ht="14.25" customHeight="1" x14ac:dyDescent="0.3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</row>
    <row r="55" spans="1:15" ht="14.25" customHeight="1" x14ac:dyDescent="0.3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</row>
    <row r="56" spans="1:15" ht="14.25" customHeight="1" x14ac:dyDescent="0.3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</row>
    <row r="57" spans="1:15" ht="14.25" customHeight="1" x14ac:dyDescent="0.3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</row>
    <row r="58" spans="1:15" ht="14.25" customHeight="1" x14ac:dyDescent="0.3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</row>
    <row r="59" spans="1:15" ht="14.25" customHeight="1" x14ac:dyDescent="0.3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</row>
    <row r="60" spans="1:15" ht="14.25" customHeight="1" x14ac:dyDescent="0.3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</row>
    <row r="61" spans="1:15" ht="14.25" customHeight="1" x14ac:dyDescent="0.3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</row>
    <row r="62" spans="1:15" ht="14.25" customHeight="1" x14ac:dyDescent="0.3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</row>
    <row r="63" spans="1:15" ht="14.25" customHeight="1" x14ac:dyDescent="0.3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</row>
    <row r="64" spans="1:15" ht="14.25" customHeight="1" x14ac:dyDescent="0.3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</row>
    <row r="65" spans="1:21" ht="14.25" customHeight="1" x14ac:dyDescent="0.3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</row>
    <row r="66" spans="1:21" ht="14.25" customHeight="1" x14ac:dyDescent="0.35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</row>
    <row r="67" spans="1:21" ht="14.25" customHeight="1" x14ac:dyDescent="0.35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</row>
    <row r="68" spans="1:21" ht="14.25" customHeight="1" x14ac:dyDescent="0.35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</row>
    <row r="69" spans="1:21" ht="14.25" customHeight="1" x14ac:dyDescent="0.35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</row>
    <row r="70" spans="1:21" ht="14.25" customHeight="1" x14ac:dyDescent="0.35">
      <c r="A70" s="78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</row>
    <row r="71" spans="1:21" ht="14.25" customHeight="1" x14ac:dyDescent="0.35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</row>
    <row r="72" spans="1:21" ht="14.25" customHeight="1" x14ac:dyDescent="0.35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</row>
    <row r="73" spans="1:21" ht="14.25" customHeight="1" x14ac:dyDescent="0.35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</row>
    <row r="74" spans="1:21" ht="14.25" customHeight="1" x14ac:dyDescent="0.35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</row>
    <row r="75" spans="1:21" ht="14.25" customHeight="1" x14ac:dyDescent="0.35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</row>
    <row r="76" spans="1:21" ht="14.25" customHeight="1" x14ac:dyDescent="0.35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</row>
    <row r="77" spans="1:21" ht="14.25" customHeight="1" x14ac:dyDescent="0.35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</row>
    <row r="78" spans="1:21" ht="14.25" customHeight="1" x14ac:dyDescent="0.35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U78" s="8"/>
    </row>
    <row r="79" spans="1:21" ht="14.25" customHeight="1" x14ac:dyDescent="0.35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</row>
    <row r="80" spans="1:21" ht="14.25" customHeight="1" x14ac:dyDescent="0.35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</row>
    <row r="81" spans="1:15" ht="14.25" customHeight="1" x14ac:dyDescent="0.35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</row>
    <row r="82" spans="1:15" ht="14.25" customHeight="1" x14ac:dyDescent="0.35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</row>
    <row r="83" spans="1:15" ht="14.25" customHeight="1" x14ac:dyDescent="0.35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</row>
    <row r="84" spans="1:15" ht="14.25" customHeight="1" x14ac:dyDescent="0.35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</row>
    <row r="85" spans="1:15" ht="14.25" customHeight="1" x14ac:dyDescent="0.35">
      <c r="A85" s="78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</row>
    <row r="86" spans="1:15" ht="14.25" customHeight="1" x14ac:dyDescent="0.35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</row>
    <row r="87" spans="1:15" ht="14.25" customHeight="1" x14ac:dyDescent="0.35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</row>
    <row r="88" spans="1:15" ht="14.25" customHeight="1" x14ac:dyDescent="0.35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</row>
    <row r="89" spans="1:15" ht="14.25" customHeight="1" x14ac:dyDescent="0.35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</row>
    <row r="90" spans="1:15" ht="14.25" customHeight="1" x14ac:dyDescent="0.35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</row>
    <row r="91" spans="1:15" ht="14.25" customHeight="1" x14ac:dyDescent="0.35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</row>
    <row r="92" spans="1:15" ht="14.25" customHeight="1" x14ac:dyDescent="0.35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</row>
    <row r="93" spans="1:15" ht="14.25" customHeight="1" x14ac:dyDescent="0.35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</row>
    <row r="94" spans="1:15" ht="14.25" customHeight="1" x14ac:dyDescent="0.35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</row>
    <row r="95" spans="1:15" ht="14.25" customHeight="1" x14ac:dyDescent="0.35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</row>
    <row r="96" spans="1:15" ht="14.25" customHeight="1" x14ac:dyDescent="0.35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</row>
    <row r="97" spans="1:15" ht="14.25" customHeight="1" x14ac:dyDescent="0.35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8"/>
      <c r="L97" s="78"/>
      <c r="M97" s="78"/>
      <c r="N97" s="78"/>
      <c r="O97" s="78"/>
    </row>
    <row r="98" spans="1:15" ht="14.25" customHeight="1" x14ac:dyDescent="0.35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</row>
    <row r="99" spans="1:15" ht="14.25" customHeight="1" x14ac:dyDescent="0.35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</row>
    <row r="100" spans="1:15" ht="14.25" customHeight="1" x14ac:dyDescent="0.35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</row>
    <row r="101" spans="1:15" ht="14.25" customHeight="1" x14ac:dyDescent="0.35">
      <c r="A101" s="78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</row>
    <row r="102" spans="1:15" ht="14.25" customHeight="1" x14ac:dyDescent="0.35">
      <c r="A102" s="78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</row>
    <row r="103" spans="1:15" ht="14.25" customHeight="1" x14ac:dyDescent="0.35">
      <c r="A103" s="78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</row>
    <row r="104" spans="1:15" ht="14.25" customHeight="1" x14ac:dyDescent="0.35">
      <c r="A104" s="78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</row>
    <row r="105" spans="1:15" ht="14.25" customHeight="1" x14ac:dyDescent="0.35">
      <c r="A105" s="78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</row>
    <row r="106" spans="1:15" ht="14.25" customHeight="1" x14ac:dyDescent="0.35">
      <c r="A106" s="78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</row>
    <row r="107" spans="1:15" ht="14.25" customHeight="1" x14ac:dyDescent="0.35">
      <c r="A107" s="78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</row>
    <row r="108" spans="1:15" ht="14.25" customHeight="1" x14ac:dyDescent="0.35">
      <c r="A108" s="78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</row>
    <row r="109" spans="1:15" ht="14.25" customHeight="1" x14ac:dyDescent="0.35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</row>
    <row r="110" spans="1:15" ht="14.25" customHeight="1" x14ac:dyDescent="0.35">
      <c r="A110" s="78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</row>
    <row r="111" spans="1:15" ht="14.25" customHeight="1" x14ac:dyDescent="0.35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</row>
    <row r="112" spans="1:15" ht="14.25" customHeight="1" x14ac:dyDescent="0.35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</row>
    <row r="113" spans="1:15" ht="14.25" customHeight="1" x14ac:dyDescent="0.35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</row>
    <row r="114" spans="1:15" ht="14.25" customHeight="1" x14ac:dyDescent="0.35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</row>
    <row r="115" spans="1:15" ht="14.25" customHeight="1" x14ac:dyDescent="0.35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</row>
    <row r="116" spans="1:15" ht="14.25" customHeight="1" x14ac:dyDescent="0.35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</row>
    <row r="117" spans="1:15" ht="14.25" customHeight="1" x14ac:dyDescent="0.35">
      <c r="A117" s="7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</row>
    <row r="118" spans="1:15" ht="14.25" customHeight="1" x14ac:dyDescent="0.35">
      <c r="A118" s="7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</row>
    <row r="119" spans="1:15" ht="14.25" customHeight="1" x14ac:dyDescent="0.35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</row>
    <row r="120" spans="1:15" ht="14.25" customHeight="1" x14ac:dyDescent="0.35">
      <c r="A120" s="7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</row>
    <row r="121" spans="1:15" ht="14.25" customHeight="1" x14ac:dyDescent="0.35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</row>
    <row r="122" spans="1:15" ht="14.25" customHeight="1" x14ac:dyDescent="0.35">
      <c r="A122" s="7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</row>
    <row r="123" spans="1:15" ht="14.25" customHeight="1" x14ac:dyDescent="0.35">
      <c r="A123" s="7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</row>
    <row r="124" spans="1:15" ht="14.25" customHeight="1" x14ac:dyDescent="0.35">
      <c r="A124" s="7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</row>
    <row r="125" spans="1:15" ht="14.25" customHeight="1" x14ac:dyDescent="0.35">
      <c r="A125" s="7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</row>
    <row r="126" spans="1:15" ht="14.25" customHeight="1" x14ac:dyDescent="0.35">
      <c r="A126" s="7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</row>
    <row r="127" spans="1:15" ht="14.25" customHeight="1" x14ac:dyDescent="0.35">
      <c r="A127" s="7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</row>
    <row r="128" spans="1:15" ht="14.25" customHeight="1" x14ac:dyDescent="0.35">
      <c r="A128" s="7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</row>
    <row r="129" spans="1:15" ht="14.25" customHeight="1" x14ac:dyDescent="0.35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</row>
    <row r="130" spans="1:15" ht="14.25" customHeight="1" x14ac:dyDescent="0.35">
      <c r="A130" s="7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</row>
    <row r="131" spans="1:15" ht="14.25" customHeight="1" x14ac:dyDescent="0.35">
      <c r="A131" s="7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</row>
    <row r="132" spans="1:15" ht="14.25" customHeight="1" x14ac:dyDescent="0.35">
      <c r="A132" s="7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</row>
    <row r="133" spans="1:15" ht="14.25" customHeight="1" x14ac:dyDescent="0.35">
      <c r="A133" s="7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</row>
    <row r="134" spans="1:15" ht="14.25" customHeight="1" x14ac:dyDescent="0.35">
      <c r="A134" s="7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</row>
    <row r="135" spans="1:15" ht="14.25" customHeight="1" x14ac:dyDescent="0.35">
      <c r="A135" s="7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</row>
    <row r="136" spans="1:15" ht="14.25" customHeight="1" x14ac:dyDescent="0.35">
      <c r="A136" s="7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</row>
    <row r="137" spans="1:15" ht="14.25" customHeight="1" x14ac:dyDescent="0.35">
      <c r="A137" s="7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</row>
    <row r="138" spans="1:15" ht="14.25" customHeight="1" x14ac:dyDescent="0.35">
      <c r="A138" s="7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</row>
    <row r="139" spans="1:15" ht="14.25" customHeight="1" x14ac:dyDescent="0.35">
      <c r="A139" s="7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</row>
    <row r="140" spans="1:15" ht="14.25" customHeight="1" x14ac:dyDescent="0.35">
      <c r="A140" s="7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</row>
    <row r="141" spans="1:15" ht="14.25" customHeight="1" x14ac:dyDescent="0.35">
      <c r="A141" s="7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</row>
    <row r="142" spans="1:15" ht="14.25" customHeight="1" x14ac:dyDescent="0.35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</row>
    <row r="143" spans="1:15" ht="14.25" customHeight="1" x14ac:dyDescent="0.35">
      <c r="A143" s="7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</row>
    <row r="144" spans="1:15" ht="14.25" customHeight="1" x14ac:dyDescent="0.35">
      <c r="A144" s="7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</row>
    <row r="145" spans="1:15" ht="14.25" customHeight="1" x14ac:dyDescent="0.35">
      <c r="A145" s="7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</row>
    <row r="146" spans="1:15" ht="14.25" customHeight="1" x14ac:dyDescent="0.35">
      <c r="A146" s="7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</row>
    <row r="147" spans="1:15" ht="14.25" customHeight="1" x14ac:dyDescent="0.35">
      <c r="A147" s="7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</row>
    <row r="148" spans="1:15" ht="14.25" customHeight="1" x14ac:dyDescent="0.35">
      <c r="A148" s="7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</row>
    <row r="149" spans="1:15" ht="14.25" customHeight="1" x14ac:dyDescent="0.35">
      <c r="A149" s="7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</row>
    <row r="150" spans="1:15" ht="14.25" customHeight="1" x14ac:dyDescent="0.35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</row>
    <row r="151" spans="1:15" ht="14.25" customHeight="1" x14ac:dyDescent="0.35">
      <c r="A151" s="7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</row>
    <row r="152" spans="1:15" ht="14.25" customHeight="1" x14ac:dyDescent="0.35">
      <c r="A152" s="7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</row>
    <row r="153" spans="1:15" ht="14.25" customHeight="1" x14ac:dyDescent="0.35">
      <c r="A153" s="7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</row>
    <row r="154" spans="1:15" ht="14.25" customHeight="1" x14ac:dyDescent="0.35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</row>
    <row r="155" spans="1:15" ht="14.25" customHeight="1" x14ac:dyDescent="0.35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</row>
    <row r="156" spans="1:15" ht="14.25" customHeight="1" x14ac:dyDescent="0.35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</row>
    <row r="157" spans="1:15" ht="14.25" customHeight="1" x14ac:dyDescent="0.35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</row>
    <row r="158" spans="1:15" ht="14.25" customHeight="1" x14ac:dyDescent="0.35">
      <c r="A158" s="7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</row>
    <row r="159" spans="1:15" ht="14.25" customHeight="1" x14ac:dyDescent="0.35">
      <c r="A159" s="7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</row>
    <row r="160" spans="1:15" ht="14.25" customHeight="1" x14ac:dyDescent="0.35">
      <c r="A160" s="7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</row>
    <row r="161" spans="1:15" ht="14.25" customHeight="1" x14ac:dyDescent="0.35">
      <c r="A161" s="7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</row>
    <row r="162" spans="1:15" ht="14.25" customHeight="1" x14ac:dyDescent="0.35">
      <c r="A162" s="7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</row>
    <row r="163" spans="1:15" ht="14.25" customHeight="1" x14ac:dyDescent="0.35">
      <c r="A163" s="7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</row>
    <row r="164" spans="1:15" ht="14.25" customHeight="1" x14ac:dyDescent="0.35">
      <c r="A164" s="7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</row>
    <row r="165" spans="1:15" ht="14.25" customHeight="1" x14ac:dyDescent="0.35">
      <c r="A165" s="7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</row>
    <row r="166" spans="1:15" ht="14.25" customHeight="1" x14ac:dyDescent="0.35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</row>
    <row r="167" spans="1:15" ht="14.25" customHeight="1" x14ac:dyDescent="0.35">
      <c r="A167" s="7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</row>
    <row r="168" spans="1:15" ht="14.25" customHeight="1" x14ac:dyDescent="0.35">
      <c r="A168" s="7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</row>
    <row r="169" spans="1:15" ht="14.25" customHeight="1" x14ac:dyDescent="0.35">
      <c r="A169" s="7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</row>
    <row r="170" spans="1:15" ht="14.25" customHeight="1" x14ac:dyDescent="0.35">
      <c r="A170" s="7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</row>
    <row r="171" spans="1:15" ht="14.25" customHeight="1" x14ac:dyDescent="0.35">
      <c r="A171" s="7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</row>
    <row r="172" spans="1:15" ht="14.25" customHeight="1" x14ac:dyDescent="0.35">
      <c r="A172" s="7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</row>
    <row r="173" spans="1:15" ht="14.25" customHeight="1" x14ac:dyDescent="0.35">
      <c r="A173" s="7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</row>
    <row r="174" spans="1:15" ht="14.25" customHeight="1" x14ac:dyDescent="0.35">
      <c r="A174" s="7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</row>
    <row r="175" spans="1:15" ht="14.25" customHeight="1" x14ac:dyDescent="0.35">
      <c r="A175" s="7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</row>
    <row r="176" spans="1:15" ht="14.25" customHeight="1" x14ac:dyDescent="0.35">
      <c r="A176" s="7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</row>
    <row r="177" spans="1:15" ht="14.25" customHeight="1" x14ac:dyDescent="0.35">
      <c r="A177" s="7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</row>
    <row r="178" spans="1:15" ht="14.25" customHeight="1" x14ac:dyDescent="0.35">
      <c r="A178" s="7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</row>
    <row r="179" spans="1:15" ht="14.25" customHeight="1" x14ac:dyDescent="0.35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</row>
    <row r="180" spans="1:15" ht="14.25" customHeight="1" x14ac:dyDescent="0.35">
      <c r="A180" s="7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</row>
    <row r="181" spans="1:15" ht="14.25" customHeight="1" x14ac:dyDescent="0.35">
      <c r="A181" s="7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</row>
    <row r="182" spans="1:15" ht="14.25" customHeight="1" x14ac:dyDescent="0.35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</row>
    <row r="183" spans="1:15" ht="14.25" customHeight="1" x14ac:dyDescent="0.35">
      <c r="A183" s="7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</row>
    <row r="184" spans="1:15" ht="14.25" customHeight="1" x14ac:dyDescent="0.35">
      <c r="A184" s="7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</row>
    <row r="185" spans="1:15" ht="14.25" customHeight="1" x14ac:dyDescent="0.35">
      <c r="A185" s="7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</row>
    <row r="186" spans="1:15" ht="14.25" customHeight="1" x14ac:dyDescent="0.35">
      <c r="A186" s="7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</row>
    <row r="187" spans="1:15" ht="14.25" customHeight="1" x14ac:dyDescent="0.35">
      <c r="A187" s="7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</row>
    <row r="188" spans="1:15" ht="14.25" customHeight="1" x14ac:dyDescent="0.35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</row>
    <row r="189" spans="1:15" ht="14.25" customHeight="1" x14ac:dyDescent="0.35">
      <c r="A189" s="7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</row>
    <row r="190" spans="1:15" ht="14.25" customHeight="1" x14ac:dyDescent="0.35">
      <c r="A190" s="7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</row>
    <row r="191" spans="1:15" ht="14.25" customHeight="1" x14ac:dyDescent="0.35">
      <c r="A191" s="7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</row>
    <row r="192" spans="1:15" ht="14.25" customHeight="1" x14ac:dyDescent="0.35">
      <c r="A192" s="7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</row>
    <row r="193" spans="1:15" ht="14.25" customHeight="1" x14ac:dyDescent="0.35">
      <c r="A193" s="7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</row>
    <row r="194" spans="1:15" ht="14.25" customHeight="1" x14ac:dyDescent="0.35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</row>
    <row r="195" spans="1:15" ht="14.25" customHeight="1" x14ac:dyDescent="0.35">
      <c r="A195" s="7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</row>
    <row r="196" spans="1:15" ht="14.25" customHeight="1" x14ac:dyDescent="0.35">
      <c r="A196" s="7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</row>
    <row r="197" spans="1:15" ht="14.25" customHeight="1" x14ac:dyDescent="0.35">
      <c r="A197" s="7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</row>
    <row r="198" spans="1:15" ht="14.25" customHeight="1" x14ac:dyDescent="0.35">
      <c r="A198" s="7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</row>
    <row r="199" spans="1:15" ht="14.25" customHeight="1" x14ac:dyDescent="0.35">
      <c r="A199" s="7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</row>
    <row r="200" spans="1:15" ht="14.25" customHeight="1" x14ac:dyDescent="0.35">
      <c r="A200" s="7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</row>
    <row r="201" spans="1:15" ht="14.25" customHeight="1" x14ac:dyDescent="0.35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</row>
    <row r="202" spans="1:15" ht="14.25" customHeight="1" x14ac:dyDescent="0.35">
      <c r="A202" s="7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</row>
    <row r="203" spans="1:15" ht="14.25" customHeight="1" x14ac:dyDescent="0.35">
      <c r="A203" s="7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</row>
    <row r="204" spans="1:15" ht="14.25" customHeight="1" x14ac:dyDescent="0.35">
      <c r="A204" s="7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</row>
    <row r="205" spans="1:15" ht="14.25" customHeight="1" x14ac:dyDescent="0.35">
      <c r="A205" s="7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</row>
    <row r="206" spans="1:15" ht="14.25" customHeight="1" x14ac:dyDescent="0.35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</row>
    <row r="207" spans="1:15" ht="14.25" customHeight="1" x14ac:dyDescent="0.35">
      <c r="A207" s="7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</row>
    <row r="208" spans="1:15" ht="14.25" customHeight="1" x14ac:dyDescent="0.35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</row>
    <row r="209" spans="1:15" ht="14.25" customHeight="1" x14ac:dyDescent="0.35">
      <c r="A209" s="7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</row>
    <row r="210" spans="1:15" ht="14.25" customHeight="1" x14ac:dyDescent="0.35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</row>
    <row r="211" spans="1:15" ht="14.25" customHeight="1" x14ac:dyDescent="0.35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</row>
    <row r="212" spans="1:15" ht="14.25" customHeight="1" x14ac:dyDescent="0.35">
      <c r="A212" s="7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</row>
    <row r="213" spans="1:15" ht="14.25" customHeight="1" x14ac:dyDescent="0.35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</row>
    <row r="214" spans="1:15" ht="14.25" customHeight="1" x14ac:dyDescent="0.35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</row>
    <row r="215" spans="1:15" ht="14.25" customHeight="1" x14ac:dyDescent="0.35">
      <c r="A215" s="7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</row>
    <row r="216" spans="1:15" ht="14.25" customHeight="1" x14ac:dyDescent="0.35">
      <c r="A216" s="7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</row>
    <row r="217" spans="1:15" ht="14.25" customHeight="1" x14ac:dyDescent="0.35">
      <c r="A217" s="7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</row>
    <row r="218" spans="1:15" ht="14.25" customHeight="1" x14ac:dyDescent="0.35">
      <c r="A218" s="7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</row>
    <row r="219" spans="1:15" ht="14.25" customHeight="1" x14ac:dyDescent="0.35">
      <c r="A219" s="7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</row>
    <row r="220" spans="1:15" ht="14.25" customHeight="1" x14ac:dyDescent="0.35">
      <c r="A220" s="7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</row>
    <row r="221" spans="1:15" ht="14.25" customHeight="1" x14ac:dyDescent="0.35">
      <c r="A221" s="7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</row>
    <row r="222" spans="1:15" ht="14.25" customHeight="1" x14ac:dyDescent="0.35">
      <c r="A222" s="7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</row>
    <row r="223" spans="1:15" ht="14.25" customHeight="1" x14ac:dyDescent="0.35">
      <c r="A223" s="7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</row>
    <row r="224" spans="1:15" ht="14.25" customHeight="1" x14ac:dyDescent="0.35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</row>
    <row r="225" spans="1:15" ht="14.25" customHeight="1" x14ac:dyDescent="0.35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</row>
    <row r="226" spans="1:15" ht="14.25" customHeight="1" x14ac:dyDescent="0.35">
      <c r="A226" s="7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</row>
    <row r="227" spans="1:15" ht="14.25" customHeight="1" x14ac:dyDescent="0.35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</row>
    <row r="228" spans="1:15" ht="14.25" customHeight="1" x14ac:dyDescent="0.35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</row>
    <row r="229" spans="1:15" ht="14.25" customHeight="1" x14ac:dyDescent="0.35">
      <c r="A229" s="7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</row>
    <row r="230" spans="1:15" ht="14.25" customHeight="1" x14ac:dyDescent="0.35">
      <c r="A230" s="7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</row>
    <row r="231" spans="1:15" ht="14.25" customHeight="1" x14ac:dyDescent="0.35">
      <c r="A231" s="7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</row>
    <row r="232" spans="1:15" ht="14.25" customHeight="1" x14ac:dyDescent="0.35">
      <c r="A232" s="7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</row>
    <row r="233" spans="1:15" ht="14.25" customHeight="1" x14ac:dyDescent="0.35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</row>
    <row r="234" spans="1:15" ht="14.25" customHeight="1" x14ac:dyDescent="0.35">
      <c r="A234" s="7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</row>
    <row r="235" spans="1:15" ht="14.25" customHeight="1" x14ac:dyDescent="0.35">
      <c r="A235" s="7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</row>
    <row r="236" spans="1:15" ht="14.25" customHeight="1" x14ac:dyDescent="0.35">
      <c r="A236" s="7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</row>
    <row r="237" spans="1:15" ht="14.25" customHeight="1" x14ac:dyDescent="0.35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</row>
    <row r="238" spans="1:15" ht="14.25" customHeight="1" x14ac:dyDescent="0.35">
      <c r="A238" s="7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</row>
    <row r="239" spans="1:15" ht="14.25" customHeight="1" x14ac:dyDescent="0.35">
      <c r="A239" s="7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</row>
    <row r="240" spans="1:15" ht="14.25" customHeight="1" x14ac:dyDescent="0.35">
      <c r="A240" s="7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</row>
    <row r="241" spans="1:15" ht="14.25" customHeight="1" x14ac:dyDescent="0.35">
      <c r="A241" s="7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</row>
    <row r="242" spans="1:15" ht="14.25" customHeight="1" x14ac:dyDescent="0.35">
      <c r="A242" s="7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</row>
    <row r="243" spans="1:15" ht="14.25" customHeight="1" x14ac:dyDescent="0.35">
      <c r="A243" s="7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</row>
    <row r="244" spans="1:15" ht="14.25" customHeight="1" x14ac:dyDescent="0.35">
      <c r="A244" s="7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</row>
    <row r="245" spans="1:15" ht="14.25" customHeight="1" x14ac:dyDescent="0.35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</row>
    <row r="246" spans="1:15" ht="14.25" customHeight="1" x14ac:dyDescent="0.35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</row>
    <row r="247" spans="1:15" ht="14.25" customHeight="1" x14ac:dyDescent="0.35">
      <c r="A247" s="7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</row>
    <row r="248" spans="1:15" ht="14.25" customHeight="1" x14ac:dyDescent="0.35">
      <c r="A248" s="7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</row>
    <row r="249" spans="1:15" ht="14.25" customHeight="1" x14ac:dyDescent="0.35">
      <c r="A249" s="7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</row>
    <row r="250" spans="1:15" ht="14.25" customHeight="1" x14ac:dyDescent="0.35">
      <c r="A250" s="7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</row>
    <row r="251" spans="1:15" ht="14.25" customHeight="1" x14ac:dyDescent="0.35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</row>
    <row r="252" spans="1:15" ht="14.25" customHeight="1" x14ac:dyDescent="0.35">
      <c r="A252" s="7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</row>
    <row r="253" spans="1:15" ht="14.25" customHeight="1" x14ac:dyDescent="0.35">
      <c r="A253" s="7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</row>
    <row r="254" spans="1:15" ht="14.25" customHeight="1" x14ac:dyDescent="0.35">
      <c r="A254" s="7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</row>
    <row r="255" spans="1:15" ht="14.25" customHeight="1" x14ac:dyDescent="0.35">
      <c r="A255" s="7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</row>
    <row r="256" spans="1:15" ht="14.25" customHeight="1" x14ac:dyDescent="0.35">
      <c r="A256" s="7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</row>
    <row r="257" spans="1:15" ht="14.25" customHeight="1" x14ac:dyDescent="0.35">
      <c r="A257" s="7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</row>
    <row r="258" spans="1:15" ht="14.25" customHeight="1" x14ac:dyDescent="0.35">
      <c r="A258" s="7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</row>
    <row r="259" spans="1:15" ht="14.25" customHeight="1" x14ac:dyDescent="0.35">
      <c r="A259" s="7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</row>
    <row r="260" spans="1:15" ht="14.25" customHeight="1" x14ac:dyDescent="0.35">
      <c r="A260" s="7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</row>
    <row r="261" spans="1:15" ht="14.25" customHeight="1" x14ac:dyDescent="0.35">
      <c r="A261" s="7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</row>
    <row r="262" spans="1:15" ht="14.25" customHeight="1" x14ac:dyDescent="0.35">
      <c r="A262" s="7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</row>
    <row r="263" spans="1:15" ht="14.25" customHeight="1" x14ac:dyDescent="0.35">
      <c r="A263" s="7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</row>
    <row r="264" spans="1:15" ht="14.25" customHeight="1" x14ac:dyDescent="0.35">
      <c r="A264" s="7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</row>
    <row r="265" spans="1:15" ht="14.25" customHeight="1" x14ac:dyDescent="0.35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</row>
    <row r="266" spans="1:15" ht="14.25" customHeight="1" x14ac:dyDescent="0.35">
      <c r="A266" s="7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</row>
    <row r="267" spans="1:15" ht="14.25" customHeight="1" x14ac:dyDescent="0.35">
      <c r="A267" s="7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</row>
    <row r="268" spans="1:15" ht="14.25" customHeight="1" x14ac:dyDescent="0.35">
      <c r="A268" s="7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</row>
    <row r="269" spans="1:15" ht="14.25" customHeight="1" x14ac:dyDescent="0.35">
      <c r="A269" s="7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</row>
    <row r="270" spans="1:15" ht="14.25" customHeight="1" x14ac:dyDescent="0.35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</row>
    <row r="271" spans="1:15" ht="14.25" customHeight="1" x14ac:dyDescent="0.35">
      <c r="A271" s="7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</row>
    <row r="272" spans="1:15" ht="14.25" customHeight="1" x14ac:dyDescent="0.35">
      <c r="A272" s="7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</row>
    <row r="273" spans="1:15" ht="14.25" customHeight="1" x14ac:dyDescent="0.35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</row>
    <row r="274" spans="1:15" ht="14.25" customHeight="1" x14ac:dyDescent="0.35">
      <c r="A274" s="7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</row>
    <row r="275" spans="1:15" ht="14.25" customHeight="1" x14ac:dyDescent="0.35">
      <c r="A275" s="7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</row>
    <row r="276" spans="1:15" ht="14.25" customHeight="1" x14ac:dyDescent="0.35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</row>
    <row r="277" spans="1:15" ht="14.25" customHeight="1" x14ac:dyDescent="0.35">
      <c r="A277" s="7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</row>
    <row r="278" spans="1:15" ht="14.25" customHeight="1" x14ac:dyDescent="0.35">
      <c r="A278" s="7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</row>
    <row r="279" spans="1:15" ht="14.25" customHeight="1" x14ac:dyDescent="0.35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</row>
    <row r="280" spans="1:15" ht="14.25" customHeight="1" x14ac:dyDescent="0.35">
      <c r="A280" s="7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</row>
    <row r="281" spans="1:15" ht="14.25" customHeight="1" x14ac:dyDescent="0.35">
      <c r="A281" s="7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</row>
    <row r="282" spans="1:15" ht="14.25" customHeight="1" x14ac:dyDescent="0.35">
      <c r="A282" s="7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</row>
    <row r="283" spans="1:15" ht="14.25" customHeight="1" x14ac:dyDescent="0.35">
      <c r="A283" s="7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</row>
    <row r="284" spans="1:15" ht="14.25" customHeight="1" x14ac:dyDescent="0.35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</row>
    <row r="285" spans="1:15" ht="14.25" customHeight="1" x14ac:dyDescent="0.35">
      <c r="A285" s="7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</row>
    <row r="286" spans="1:15" ht="14.25" customHeight="1" x14ac:dyDescent="0.35">
      <c r="A286" s="7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</row>
    <row r="287" spans="1:15" ht="14.25" customHeight="1" x14ac:dyDescent="0.35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</row>
    <row r="288" spans="1:15" ht="14.25" customHeight="1" x14ac:dyDescent="0.35">
      <c r="A288" s="7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</row>
    <row r="289" spans="1:15" ht="14.25" customHeight="1" x14ac:dyDescent="0.35">
      <c r="A289" s="7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</row>
    <row r="290" spans="1:15" ht="14.25" customHeight="1" x14ac:dyDescent="0.35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</row>
    <row r="291" spans="1:15" ht="14.25" customHeight="1" x14ac:dyDescent="0.35">
      <c r="A291" s="7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</row>
    <row r="292" spans="1:15" ht="14.25" customHeight="1" x14ac:dyDescent="0.35">
      <c r="A292" s="7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</row>
    <row r="293" spans="1:15" ht="14.25" customHeight="1" x14ac:dyDescent="0.35">
      <c r="A293" s="7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</row>
    <row r="294" spans="1:15" ht="14.25" customHeight="1" x14ac:dyDescent="0.35">
      <c r="A294" s="7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</row>
    <row r="295" spans="1:15" ht="14.25" customHeight="1" x14ac:dyDescent="0.35">
      <c r="A295" s="7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</row>
    <row r="296" spans="1:15" ht="14.25" customHeight="1" x14ac:dyDescent="0.35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</row>
    <row r="297" spans="1:15" ht="14.25" customHeight="1" x14ac:dyDescent="0.35">
      <c r="A297" s="7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</row>
    <row r="298" spans="1:15" ht="14.25" customHeight="1" x14ac:dyDescent="0.35">
      <c r="A298" s="7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</row>
    <row r="299" spans="1:15" ht="14.25" customHeight="1" x14ac:dyDescent="0.35">
      <c r="A299" s="7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</row>
    <row r="300" spans="1:15" ht="14.25" customHeight="1" x14ac:dyDescent="0.35">
      <c r="A300" s="7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</row>
    <row r="301" spans="1:15" ht="14.25" customHeight="1" x14ac:dyDescent="0.35">
      <c r="A301" s="7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</row>
    <row r="302" spans="1:15" ht="14.25" customHeight="1" x14ac:dyDescent="0.35">
      <c r="A302" s="7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</row>
    <row r="303" spans="1:15" ht="14.25" customHeight="1" x14ac:dyDescent="0.35">
      <c r="A303" s="7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</row>
    <row r="304" spans="1:15" ht="14.25" customHeight="1" x14ac:dyDescent="0.35">
      <c r="A304" s="7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</row>
    <row r="305" spans="1:15" ht="14.25" customHeight="1" x14ac:dyDescent="0.35">
      <c r="A305" s="7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</row>
    <row r="306" spans="1:15" ht="14.25" customHeight="1" x14ac:dyDescent="0.35">
      <c r="A306" s="7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</row>
    <row r="307" spans="1:15" ht="14.25" customHeight="1" x14ac:dyDescent="0.35">
      <c r="A307" s="7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</row>
    <row r="308" spans="1:15" ht="14.25" customHeight="1" x14ac:dyDescent="0.35">
      <c r="A308" s="7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</row>
    <row r="309" spans="1:15" ht="14.25" customHeight="1" x14ac:dyDescent="0.35">
      <c r="A309" s="7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</row>
    <row r="310" spans="1:15" ht="14.25" customHeight="1" x14ac:dyDescent="0.35">
      <c r="A310" s="7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</row>
    <row r="311" spans="1:15" ht="14.25" customHeight="1" x14ac:dyDescent="0.35">
      <c r="A311" s="7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</row>
    <row r="312" spans="1:15" ht="14.25" customHeight="1" x14ac:dyDescent="0.35">
      <c r="A312" s="7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</row>
    <row r="313" spans="1:15" ht="14.25" customHeight="1" x14ac:dyDescent="0.35">
      <c r="A313" s="7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</row>
    <row r="314" spans="1:15" ht="14.25" customHeight="1" x14ac:dyDescent="0.35">
      <c r="A314" s="7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</row>
    <row r="315" spans="1:15" ht="14.25" customHeight="1" x14ac:dyDescent="0.35">
      <c r="A315" s="7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</row>
    <row r="316" spans="1:15" ht="14.25" customHeight="1" x14ac:dyDescent="0.35">
      <c r="A316" s="7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</row>
    <row r="317" spans="1:15" ht="14.25" customHeight="1" x14ac:dyDescent="0.35">
      <c r="A317" s="7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</row>
    <row r="318" spans="1:15" ht="14.25" customHeight="1" x14ac:dyDescent="0.35">
      <c r="A318" s="7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</row>
    <row r="319" spans="1:15" ht="14.25" customHeight="1" x14ac:dyDescent="0.35">
      <c r="A319" s="7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</row>
    <row r="320" spans="1:15" ht="14.25" customHeight="1" x14ac:dyDescent="0.35">
      <c r="A320" s="7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</row>
    <row r="321" spans="1:15" ht="14.25" customHeight="1" x14ac:dyDescent="0.35">
      <c r="A321" s="7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</row>
    <row r="322" spans="1:15" ht="14.25" customHeight="1" x14ac:dyDescent="0.35">
      <c r="A322" s="7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</row>
    <row r="323" spans="1:15" ht="14.25" customHeight="1" x14ac:dyDescent="0.35">
      <c r="A323" s="7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</row>
    <row r="324" spans="1:15" ht="14.25" customHeight="1" x14ac:dyDescent="0.35">
      <c r="A324" s="7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</row>
    <row r="325" spans="1:15" ht="14.25" customHeight="1" x14ac:dyDescent="0.35">
      <c r="A325" s="7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</row>
    <row r="326" spans="1:15" ht="14.25" customHeight="1" x14ac:dyDescent="0.35">
      <c r="A326" s="7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</row>
    <row r="327" spans="1:15" ht="14.25" customHeight="1" x14ac:dyDescent="0.35">
      <c r="A327" s="7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</row>
    <row r="328" spans="1:15" ht="14.25" customHeight="1" x14ac:dyDescent="0.35">
      <c r="A328" s="7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</row>
    <row r="329" spans="1:15" ht="14.25" customHeight="1" x14ac:dyDescent="0.35">
      <c r="A329" s="7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</row>
    <row r="330" spans="1:15" ht="14.25" customHeight="1" x14ac:dyDescent="0.35">
      <c r="A330" s="7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</row>
    <row r="331" spans="1:15" ht="14.25" customHeight="1" x14ac:dyDescent="0.35">
      <c r="A331" s="7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</row>
    <row r="332" spans="1:15" ht="14.25" customHeight="1" x14ac:dyDescent="0.35">
      <c r="A332" s="7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</row>
    <row r="333" spans="1:15" ht="14.25" customHeight="1" x14ac:dyDescent="0.35">
      <c r="A333" s="7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</row>
    <row r="334" spans="1:15" ht="14.25" customHeight="1" x14ac:dyDescent="0.35">
      <c r="A334" s="7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</row>
    <row r="335" spans="1:15" ht="14.25" customHeight="1" x14ac:dyDescent="0.35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</row>
    <row r="336" spans="1:15" ht="14.25" customHeight="1" x14ac:dyDescent="0.35">
      <c r="A336" s="7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</row>
    <row r="337" spans="1:15" ht="14.25" customHeight="1" x14ac:dyDescent="0.35">
      <c r="A337" s="7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</row>
    <row r="338" spans="1:15" ht="14.25" customHeight="1" x14ac:dyDescent="0.35">
      <c r="A338" s="7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</row>
    <row r="339" spans="1:15" ht="14.25" customHeight="1" x14ac:dyDescent="0.35">
      <c r="A339" s="7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</row>
    <row r="340" spans="1:15" ht="14.25" customHeight="1" x14ac:dyDescent="0.35">
      <c r="A340" s="7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</row>
    <row r="341" spans="1:15" ht="14.25" customHeight="1" x14ac:dyDescent="0.35">
      <c r="A341" s="7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</row>
    <row r="342" spans="1:15" ht="14.25" customHeight="1" x14ac:dyDescent="0.35">
      <c r="A342" s="7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</row>
    <row r="343" spans="1:15" ht="14.25" customHeight="1" x14ac:dyDescent="0.35">
      <c r="A343" s="7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</row>
    <row r="344" spans="1:15" ht="14.25" customHeight="1" x14ac:dyDescent="0.35">
      <c r="A344" s="7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</row>
    <row r="345" spans="1:15" ht="14.25" customHeight="1" x14ac:dyDescent="0.35">
      <c r="A345" s="7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</row>
    <row r="346" spans="1:15" ht="14.25" customHeight="1" x14ac:dyDescent="0.35">
      <c r="A346" s="7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</row>
    <row r="347" spans="1:15" ht="14.25" customHeight="1" x14ac:dyDescent="0.35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</row>
    <row r="348" spans="1:15" ht="14.25" customHeight="1" x14ac:dyDescent="0.35">
      <c r="A348" s="7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</row>
    <row r="349" spans="1:15" ht="14.25" customHeight="1" x14ac:dyDescent="0.35">
      <c r="A349" s="7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</row>
    <row r="350" spans="1:15" ht="14.25" customHeight="1" x14ac:dyDescent="0.35">
      <c r="A350" s="7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</row>
    <row r="351" spans="1:15" ht="14.25" customHeight="1" x14ac:dyDescent="0.35">
      <c r="A351" s="7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</row>
    <row r="352" spans="1:15" ht="14.25" customHeight="1" x14ac:dyDescent="0.35">
      <c r="A352" s="7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</row>
    <row r="353" spans="1:15" ht="14.25" customHeight="1" x14ac:dyDescent="0.35">
      <c r="A353" s="7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</row>
    <row r="354" spans="1:15" ht="14.25" customHeight="1" x14ac:dyDescent="0.35">
      <c r="A354" s="7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</row>
    <row r="355" spans="1:15" ht="14.25" customHeight="1" x14ac:dyDescent="0.35">
      <c r="A355" s="7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</row>
    <row r="356" spans="1:15" ht="14.25" customHeight="1" x14ac:dyDescent="0.35">
      <c r="A356" s="7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</row>
    <row r="357" spans="1:15" ht="14.25" customHeight="1" x14ac:dyDescent="0.35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</row>
    <row r="358" spans="1:15" ht="14.25" customHeight="1" x14ac:dyDescent="0.35">
      <c r="A358" s="7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</row>
    <row r="359" spans="1:15" ht="14.25" customHeight="1" x14ac:dyDescent="0.35">
      <c r="A359" s="7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</row>
    <row r="360" spans="1:15" ht="14.25" customHeight="1" x14ac:dyDescent="0.35">
      <c r="A360" s="7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</row>
    <row r="361" spans="1:15" ht="14.25" customHeight="1" x14ac:dyDescent="0.35">
      <c r="A361" s="7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</row>
    <row r="362" spans="1:15" ht="14.25" customHeight="1" x14ac:dyDescent="0.35">
      <c r="A362" s="7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</row>
    <row r="363" spans="1:15" ht="14.25" customHeight="1" x14ac:dyDescent="0.35">
      <c r="A363" s="7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</row>
    <row r="364" spans="1:15" ht="14.25" customHeight="1" x14ac:dyDescent="0.35">
      <c r="A364" s="7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</row>
    <row r="365" spans="1:15" ht="14.25" customHeight="1" x14ac:dyDescent="0.35">
      <c r="A365" s="7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</row>
    <row r="366" spans="1:15" ht="14.25" customHeight="1" x14ac:dyDescent="0.35">
      <c r="A366" s="7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</row>
    <row r="367" spans="1:15" ht="14.25" customHeight="1" x14ac:dyDescent="0.35">
      <c r="A367" s="7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</row>
    <row r="368" spans="1:15" ht="14.25" customHeight="1" x14ac:dyDescent="0.35">
      <c r="A368" s="7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</row>
    <row r="369" spans="1:15" ht="14.25" customHeight="1" x14ac:dyDescent="0.35">
      <c r="A369" s="7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</row>
    <row r="370" spans="1:15" ht="14.25" customHeight="1" x14ac:dyDescent="0.35">
      <c r="A370" s="7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</row>
    <row r="371" spans="1:15" ht="14.25" customHeight="1" x14ac:dyDescent="0.35">
      <c r="A371" s="7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</row>
    <row r="372" spans="1:15" ht="14.25" customHeight="1" x14ac:dyDescent="0.35">
      <c r="A372" s="7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</row>
    <row r="373" spans="1:15" ht="14.25" customHeight="1" x14ac:dyDescent="0.35">
      <c r="A373" s="7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</row>
    <row r="374" spans="1:15" ht="14.25" customHeight="1" x14ac:dyDescent="0.35">
      <c r="A374" s="7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</row>
    <row r="375" spans="1:15" ht="14.25" customHeight="1" x14ac:dyDescent="0.35">
      <c r="A375" s="7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</row>
    <row r="376" spans="1:15" ht="14.25" customHeight="1" x14ac:dyDescent="0.35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</row>
    <row r="377" spans="1:15" ht="14.25" customHeight="1" x14ac:dyDescent="0.35">
      <c r="A377" s="7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</row>
    <row r="378" spans="1:15" ht="14.25" customHeight="1" x14ac:dyDescent="0.35">
      <c r="A378" s="7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</row>
    <row r="379" spans="1:15" ht="14.25" customHeight="1" x14ac:dyDescent="0.35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</row>
    <row r="380" spans="1:15" ht="14.25" customHeight="1" x14ac:dyDescent="0.35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</row>
    <row r="381" spans="1:15" ht="14.25" customHeight="1" x14ac:dyDescent="0.35">
      <c r="A381" s="7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</row>
    <row r="382" spans="1:15" ht="14.25" customHeight="1" x14ac:dyDescent="0.35">
      <c r="A382" s="7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</row>
    <row r="383" spans="1:15" ht="14.25" customHeight="1" x14ac:dyDescent="0.35">
      <c r="A383" s="7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</row>
    <row r="384" spans="1:15" ht="14.25" customHeight="1" x14ac:dyDescent="0.35">
      <c r="A384" s="7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</row>
    <row r="385" spans="1:15" ht="14.25" customHeight="1" x14ac:dyDescent="0.35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</row>
    <row r="386" spans="1:15" ht="14.25" customHeight="1" x14ac:dyDescent="0.35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</row>
    <row r="387" spans="1:15" ht="14.25" customHeight="1" x14ac:dyDescent="0.35">
      <c r="A387" s="7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</row>
    <row r="388" spans="1:15" ht="14.25" customHeight="1" x14ac:dyDescent="0.35">
      <c r="A388" s="7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</row>
    <row r="389" spans="1:15" ht="14.25" customHeight="1" x14ac:dyDescent="0.35">
      <c r="A389" s="7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</row>
    <row r="390" spans="1:15" ht="14.25" customHeight="1" x14ac:dyDescent="0.35">
      <c r="A390" s="7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</row>
    <row r="391" spans="1:15" ht="14.25" customHeight="1" x14ac:dyDescent="0.35">
      <c r="A391" s="7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</row>
    <row r="392" spans="1:15" ht="14.25" customHeight="1" x14ac:dyDescent="0.35">
      <c r="A392" s="7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</row>
    <row r="393" spans="1:15" ht="14.25" customHeight="1" x14ac:dyDescent="0.35">
      <c r="A393" s="7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</row>
    <row r="394" spans="1:15" ht="14.25" customHeight="1" x14ac:dyDescent="0.35">
      <c r="A394" s="7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</row>
    <row r="395" spans="1:15" ht="14.25" customHeight="1" x14ac:dyDescent="0.35">
      <c r="A395" s="7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</row>
    <row r="396" spans="1:15" ht="14.25" customHeight="1" x14ac:dyDescent="0.35">
      <c r="A396" s="7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</row>
    <row r="397" spans="1:15" ht="14.25" customHeight="1" x14ac:dyDescent="0.35">
      <c r="A397" s="7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</row>
    <row r="398" spans="1:15" ht="14.25" customHeight="1" x14ac:dyDescent="0.35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</row>
    <row r="399" spans="1:15" ht="14.25" customHeight="1" x14ac:dyDescent="0.35">
      <c r="A399" s="7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</row>
    <row r="400" spans="1:15" ht="14.25" customHeight="1" x14ac:dyDescent="0.35">
      <c r="A400" s="7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</row>
    <row r="401" spans="1:15" ht="14.25" customHeight="1" x14ac:dyDescent="0.35">
      <c r="A401" s="7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</row>
    <row r="402" spans="1:15" ht="14.25" customHeight="1" x14ac:dyDescent="0.35">
      <c r="A402" s="7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</row>
    <row r="403" spans="1:15" ht="14.25" customHeight="1" x14ac:dyDescent="0.35">
      <c r="A403" s="7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</row>
    <row r="404" spans="1:15" ht="14.25" customHeight="1" x14ac:dyDescent="0.35">
      <c r="A404" s="7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</row>
    <row r="405" spans="1:15" ht="14.25" customHeight="1" x14ac:dyDescent="0.35">
      <c r="A405" s="7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</row>
    <row r="406" spans="1:15" ht="14.25" customHeight="1" x14ac:dyDescent="0.35">
      <c r="A406" s="7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</row>
    <row r="407" spans="1:15" ht="14.25" customHeight="1" x14ac:dyDescent="0.35">
      <c r="A407" s="7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</row>
    <row r="408" spans="1:15" ht="14.25" customHeight="1" x14ac:dyDescent="0.35">
      <c r="A408" s="7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</row>
    <row r="409" spans="1:15" ht="14.25" customHeight="1" x14ac:dyDescent="0.35">
      <c r="A409" s="7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</row>
    <row r="410" spans="1:15" ht="14.25" customHeight="1" x14ac:dyDescent="0.35">
      <c r="A410" s="7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</row>
    <row r="411" spans="1:15" ht="14.25" customHeight="1" x14ac:dyDescent="0.35">
      <c r="A411" s="7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</row>
    <row r="412" spans="1:15" ht="14.25" customHeight="1" x14ac:dyDescent="0.35">
      <c r="A412" s="7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</row>
    <row r="413" spans="1:15" ht="14.25" customHeight="1" x14ac:dyDescent="0.35">
      <c r="A413" s="7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</row>
    <row r="414" spans="1:15" ht="14.25" customHeight="1" x14ac:dyDescent="0.35">
      <c r="A414" s="7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</row>
    <row r="415" spans="1:15" ht="14.25" customHeight="1" x14ac:dyDescent="0.35">
      <c r="A415" s="7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</row>
    <row r="416" spans="1:15" ht="14.25" customHeight="1" x14ac:dyDescent="0.35">
      <c r="A416" s="7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</row>
    <row r="417" spans="1:15" ht="14.25" customHeight="1" x14ac:dyDescent="0.35">
      <c r="A417" s="7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</row>
    <row r="418" spans="1:15" ht="14.25" customHeight="1" x14ac:dyDescent="0.35">
      <c r="A418" s="7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</row>
    <row r="419" spans="1:15" ht="14.25" customHeight="1" x14ac:dyDescent="0.35">
      <c r="A419" s="7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</row>
    <row r="420" spans="1:15" ht="14.25" customHeight="1" x14ac:dyDescent="0.35">
      <c r="A420" s="7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</row>
    <row r="421" spans="1:15" ht="14.25" customHeight="1" x14ac:dyDescent="0.35">
      <c r="A421" s="7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</row>
    <row r="422" spans="1:15" ht="14.25" customHeight="1" x14ac:dyDescent="0.35">
      <c r="A422" s="7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</row>
    <row r="423" spans="1:15" ht="14.25" customHeight="1" x14ac:dyDescent="0.35">
      <c r="A423" s="7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</row>
    <row r="424" spans="1:15" ht="14.25" customHeight="1" x14ac:dyDescent="0.35">
      <c r="A424" s="7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</row>
    <row r="425" spans="1:15" ht="14.25" customHeight="1" x14ac:dyDescent="0.35">
      <c r="A425" s="7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</row>
    <row r="426" spans="1:15" ht="14.25" customHeight="1" x14ac:dyDescent="0.35">
      <c r="A426" s="7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</row>
    <row r="427" spans="1:15" ht="14.25" customHeight="1" x14ac:dyDescent="0.35">
      <c r="A427" s="7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</row>
    <row r="428" spans="1:15" ht="14.25" customHeight="1" x14ac:dyDescent="0.35">
      <c r="A428" s="7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</row>
    <row r="429" spans="1:15" ht="14.25" customHeight="1" x14ac:dyDescent="0.35">
      <c r="A429" s="7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</row>
    <row r="430" spans="1:15" ht="14.25" customHeight="1" x14ac:dyDescent="0.35">
      <c r="A430" s="7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</row>
    <row r="431" spans="1:15" ht="14.25" customHeight="1" x14ac:dyDescent="0.35">
      <c r="A431" s="7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</row>
    <row r="432" spans="1:15" ht="14.25" customHeight="1" x14ac:dyDescent="0.35">
      <c r="A432" s="7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</row>
    <row r="433" spans="1:15" ht="14.25" customHeight="1" x14ac:dyDescent="0.35">
      <c r="A433" s="7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</row>
    <row r="434" spans="1:15" ht="14.25" customHeight="1" x14ac:dyDescent="0.35">
      <c r="A434" s="7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</row>
    <row r="435" spans="1:15" ht="14.25" customHeight="1" x14ac:dyDescent="0.35">
      <c r="A435" s="7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</row>
    <row r="436" spans="1:15" ht="14.25" customHeight="1" x14ac:dyDescent="0.35">
      <c r="A436" s="7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</row>
    <row r="437" spans="1:15" ht="14.25" customHeight="1" x14ac:dyDescent="0.35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</row>
    <row r="438" spans="1:15" ht="14.25" customHeight="1" x14ac:dyDescent="0.35">
      <c r="A438" s="7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</row>
    <row r="439" spans="1:15" ht="14.25" customHeight="1" x14ac:dyDescent="0.35">
      <c r="A439" s="7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</row>
    <row r="440" spans="1:15" ht="14.25" customHeight="1" x14ac:dyDescent="0.35">
      <c r="A440" s="7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</row>
    <row r="441" spans="1:15" ht="14.25" customHeight="1" x14ac:dyDescent="0.35">
      <c r="A441" s="7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</row>
    <row r="442" spans="1:15" ht="14.25" customHeight="1" x14ac:dyDescent="0.35">
      <c r="A442" s="7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</row>
    <row r="443" spans="1:15" ht="14.25" customHeight="1" x14ac:dyDescent="0.35">
      <c r="A443" s="7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</row>
    <row r="444" spans="1:15" ht="14.25" customHeight="1" x14ac:dyDescent="0.35">
      <c r="A444" s="7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</row>
    <row r="445" spans="1:15" ht="14.25" customHeight="1" x14ac:dyDescent="0.35">
      <c r="A445" s="7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</row>
    <row r="446" spans="1:15" ht="14.25" customHeight="1" x14ac:dyDescent="0.35">
      <c r="A446" s="7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</row>
    <row r="447" spans="1:15" ht="14.25" customHeight="1" x14ac:dyDescent="0.35">
      <c r="A447" s="7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</row>
    <row r="448" spans="1:15" ht="14.25" customHeight="1" x14ac:dyDescent="0.35">
      <c r="A448" s="7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</row>
    <row r="449" spans="1:15" ht="14.25" customHeight="1" x14ac:dyDescent="0.35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</row>
    <row r="450" spans="1:15" ht="14.25" customHeight="1" x14ac:dyDescent="0.35">
      <c r="A450" s="7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</row>
    <row r="451" spans="1:15" ht="14.25" customHeight="1" x14ac:dyDescent="0.35">
      <c r="A451" s="7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</row>
    <row r="452" spans="1:15" ht="14.25" customHeight="1" x14ac:dyDescent="0.35">
      <c r="A452" s="7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</row>
    <row r="453" spans="1:15" ht="14.25" customHeight="1" x14ac:dyDescent="0.35">
      <c r="A453" s="7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</row>
    <row r="454" spans="1:15" ht="14.25" customHeight="1" x14ac:dyDescent="0.35">
      <c r="A454" s="7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</row>
    <row r="455" spans="1:15" ht="14.25" customHeight="1" x14ac:dyDescent="0.35">
      <c r="A455" s="7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</row>
    <row r="456" spans="1:15" ht="14.25" customHeight="1" x14ac:dyDescent="0.35">
      <c r="A456" s="7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</row>
    <row r="457" spans="1:15" ht="14.25" customHeight="1" x14ac:dyDescent="0.35">
      <c r="A457" s="7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</row>
    <row r="458" spans="1:15" ht="14.25" customHeight="1" x14ac:dyDescent="0.35">
      <c r="A458" s="7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</row>
    <row r="459" spans="1:15" ht="14.25" customHeight="1" x14ac:dyDescent="0.35">
      <c r="A459" s="7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</row>
    <row r="460" spans="1:15" ht="14.25" customHeight="1" x14ac:dyDescent="0.35">
      <c r="A460" s="7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</row>
    <row r="461" spans="1:15" ht="14.25" customHeight="1" x14ac:dyDescent="0.35">
      <c r="A461" s="7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</row>
    <row r="462" spans="1:15" ht="14.25" customHeight="1" x14ac:dyDescent="0.35">
      <c r="A462" s="7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</row>
    <row r="463" spans="1:15" ht="14.25" customHeight="1" x14ac:dyDescent="0.35">
      <c r="A463" s="7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</row>
    <row r="464" spans="1:15" ht="14.25" customHeight="1" x14ac:dyDescent="0.35">
      <c r="A464" s="7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</row>
    <row r="465" spans="1:15" ht="14.25" customHeight="1" x14ac:dyDescent="0.35">
      <c r="A465" s="7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</row>
    <row r="466" spans="1:15" ht="14.25" customHeight="1" x14ac:dyDescent="0.35">
      <c r="A466" s="7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</row>
    <row r="467" spans="1:15" ht="14.25" customHeight="1" x14ac:dyDescent="0.35">
      <c r="A467" s="7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</row>
    <row r="468" spans="1:15" ht="14.25" customHeight="1" x14ac:dyDescent="0.35">
      <c r="A468" s="7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</row>
    <row r="469" spans="1:15" ht="14.25" customHeight="1" x14ac:dyDescent="0.35">
      <c r="A469" s="7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</row>
    <row r="470" spans="1:15" ht="14.25" customHeight="1" x14ac:dyDescent="0.35">
      <c r="A470" s="7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</row>
    <row r="471" spans="1:15" ht="14.25" customHeight="1" x14ac:dyDescent="0.35">
      <c r="A471" s="7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</row>
    <row r="472" spans="1:15" ht="14.25" customHeight="1" x14ac:dyDescent="0.35">
      <c r="A472" s="7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</row>
    <row r="473" spans="1:15" ht="14.25" customHeight="1" x14ac:dyDescent="0.35">
      <c r="A473" s="7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</row>
    <row r="474" spans="1:15" ht="14.25" customHeight="1" x14ac:dyDescent="0.35">
      <c r="A474" s="7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</row>
    <row r="475" spans="1:15" ht="14.25" customHeight="1" x14ac:dyDescent="0.35">
      <c r="A475" s="7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</row>
    <row r="476" spans="1:15" ht="14.25" customHeight="1" x14ac:dyDescent="0.35">
      <c r="A476" s="7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</row>
    <row r="477" spans="1:15" ht="14.25" customHeight="1" x14ac:dyDescent="0.35">
      <c r="A477" s="7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</row>
    <row r="478" spans="1:15" ht="14.25" customHeight="1" x14ac:dyDescent="0.35">
      <c r="A478" s="7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</row>
    <row r="479" spans="1:15" ht="14.25" customHeight="1" x14ac:dyDescent="0.35">
      <c r="A479" s="7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</row>
    <row r="480" spans="1:15" ht="14.25" customHeight="1" x14ac:dyDescent="0.35">
      <c r="A480" s="7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</row>
    <row r="481" spans="1:15" ht="14.25" customHeight="1" x14ac:dyDescent="0.35">
      <c r="A481" s="7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</row>
    <row r="482" spans="1:15" ht="14.25" customHeight="1" x14ac:dyDescent="0.35">
      <c r="A482" s="7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</row>
    <row r="483" spans="1:15" ht="14.25" customHeight="1" x14ac:dyDescent="0.35">
      <c r="A483" s="7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</row>
    <row r="484" spans="1:15" ht="14.25" customHeight="1" x14ac:dyDescent="0.35">
      <c r="A484" s="7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</row>
    <row r="485" spans="1:15" ht="14.25" customHeight="1" x14ac:dyDescent="0.35">
      <c r="A485" s="7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</row>
    <row r="486" spans="1:15" ht="14.25" customHeight="1" x14ac:dyDescent="0.35">
      <c r="A486" s="7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</row>
    <row r="487" spans="1:15" ht="14.25" customHeight="1" x14ac:dyDescent="0.35">
      <c r="A487" s="7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</row>
    <row r="488" spans="1:15" ht="14.25" customHeight="1" x14ac:dyDescent="0.35">
      <c r="A488" s="7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</row>
    <row r="489" spans="1:15" ht="14.25" customHeight="1" x14ac:dyDescent="0.35">
      <c r="A489" s="7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</row>
    <row r="490" spans="1:15" ht="14.25" customHeight="1" x14ac:dyDescent="0.35">
      <c r="A490" s="7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</row>
    <row r="491" spans="1:15" ht="14.25" customHeight="1" x14ac:dyDescent="0.35">
      <c r="A491" s="7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</row>
    <row r="492" spans="1:15" ht="14.25" customHeight="1" x14ac:dyDescent="0.35">
      <c r="A492" s="7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</row>
    <row r="493" spans="1:15" ht="14.25" customHeight="1" x14ac:dyDescent="0.35">
      <c r="A493" s="7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</row>
    <row r="494" spans="1:15" ht="14.25" customHeight="1" x14ac:dyDescent="0.35">
      <c r="A494" s="7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</row>
    <row r="495" spans="1:15" ht="14.25" customHeight="1" x14ac:dyDescent="0.35">
      <c r="A495" s="7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</row>
    <row r="496" spans="1:15" ht="14.25" customHeight="1" x14ac:dyDescent="0.35">
      <c r="A496" s="7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</row>
    <row r="497" spans="1:15" ht="14.25" customHeight="1" x14ac:dyDescent="0.35">
      <c r="A497" s="7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</row>
    <row r="498" spans="1:15" ht="14.25" customHeight="1" x14ac:dyDescent="0.35">
      <c r="A498" s="7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</row>
    <row r="499" spans="1:15" ht="14.25" customHeight="1" x14ac:dyDescent="0.35">
      <c r="A499" s="7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</row>
    <row r="500" spans="1:15" ht="14.25" customHeight="1" x14ac:dyDescent="0.35">
      <c r="A500" s="7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</row>
    <row r="501" spans="1:15" ht="14.25" customHeight="1" x14ac:dyDescent="0.35">
      <c r="A501" s="7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</row>
    <row r="502" spans="1:15" ht="14.25" customHeight="1" x14ac:dyDescent="0.35">
      <c r="A502" s="7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</row>
    <row r="503" spans="1:15" ht="14.25" customHeight="1" x14ac:dyDescent="0.35">
      <c r="A503" s="7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</row>
    <row r="504" spans="1:15" ht="14.25" customHeight="1" x14ac:dyDescent="0.35">
      <c r="A504" s="7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</row>
    <row r="505" spans="1:15" ht="14.25" customHeight="1" x14ac:dyDescent="0.35">
      <c r="A505" s="7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</row>
    <row r="506" spans="1:15" ht="14.25" customHeight="1" x14ac:dyDescent="0.35">
      <c r="A506" s="7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</row>
    <row r="507" spans="1:15" ht="14.25" customHeight="1" x14ac:dyDescent="0.35">
      <c r="A507" s="7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</row>
    <row r="508" spans="1:15" ht="14.25" customHeight="1" x14ac:dyDescent="0.35">
      <c r="A508" s="7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</row>
    <row r="509" spans="1:15" ht="14.25" customHeight="1" x14ac:dyDescent="0.35">
      <c r="A509" s="7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</row>
    <row r="510" spans="1:15" ht="14.25" customHeight="1" x14ac:dyDescent="0.35">
      <c r="A510" s="7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</row>
    <row r="511" spans="1:15" ht="14.25" customHeight="1" x14ac:dyDescent="0.35">
      <c r="A511" s="7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</row>
    <row r="512" spans="1:15" ht="14.25" customHeight="1" x14ac:dyDescent="0.35">
      <c r="A512" s="7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</row>
    <row r="513" spans="1:15" ht="14.25" customHeight="1" x14ac:dyDescent="0.35">
      <c r="A513" s="7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</row>
    <row r="514" spans="1:15" ht="14.25" customHeight="1" x14ac:dyDescent="0.35">
      <c r="A514" s="7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</row>
    <row r="515" spans="1:15" ht="14.25" customHeight="1" x14ac:dyDescent="0.35">
      <c r="A515" s="7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</row>
    <row r="516" spans="1:15" ht="14.25" customHeight="1" x14ac:dyDescent="0.35">
      <c r="A516" s="7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</row>
    <row r="517" spans="1:15" ht="14.25" customHeight="1" x14ac:dyDescent="0.35">
      <c r="A517" s="7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</row>
    <row r="518" spans="1:15" ht="14.25" customHeight="1" x14ac:dyDescent="0.35">
      <c r="A518" s="7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</row>
    <row r="519" spans="1:15" ht="14.25" customHeight="1" x14ac:dyDescent="0.35">
      <c r="A519" s="7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</row>
    <row r="520" spans="1:15" ht="14.25" customHeight="1" x14ac:dyDescent="0.35">
      <c r="A520" s="7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</row>
    <row r="521" spans="1:15" ht="14.25" customHeight="1" x14ac:dyDescent="0.35">
      <c r="A521" s="7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</row>
    <row r="522" spans="1:15" ht="14.25" customHeight="1" x14ac:dyDescent="0.35">
      <c r="A522" s="7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</row>
    <row r="523" spans="1:15" ht="14.25" customHeight="1" x14ac:dyDescent="0.35">
      <c r="A523" s="7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</row>
    <row r="524" spans="1:15" ht="14.25" customHeight="1" x14ac:dyDescent="0.35">
      <c r="A524" s="7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</row>
    <row r="525" spans="1:15" ht="14.25" customHeight="1" x14ac:dyDescent="0.35">
      <c r="A525" s="7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</row>
    <row r="526" spans="1:15" ht="14.25" customHeight="1" x14ac:dyDescent="0.35">
      <c r="A526" s="7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</row>
    <row r="527" spans="1:15" ht="14.25" customHeight="1" x14ac:dyDescent="0.35">
      <c r="A527" s="7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</row>
    <row r="528" spans="1:15" ht="14.25" customHeight="1" x14ac:dyDescent="0.35">
      <c r="A528" s="7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</row>
    <row r="529" spans="1:15" ht="14.25" customHeight="1" x14ac:dyDescent="0.35">
      <c r="A529" s="7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</row>
    <row r="530" spans="1:15" ht="14.25" customHeight="1" x14ac:dyDescent="0.35">
      <c r="A530" s="7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</row>
    <row r="531" spans="1:15" ht="14.25" customHeight="1" x14ac:dyDescent="0.35">
      <c r="A531" s="7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</row>
    <row r="532" spans="1:15" ht="14.25" customHeight="1" x14ac:dyDescent="0.35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</row>
    <row r="533" spans="1:15" ht="14.25" customHeight="1" x14ac:dyDescent="0.35">
      <c r="A533" s="7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</row>
    <row r="534" spans="1:15" ht="14.25" customHeight="1" x14ac:dyDescent="0.35">
      <c r="A534" s="7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</row>
    <row r="535" spans="1:15" ht="14.25" customHeight="1" x14ac:dyDescent="0.35">
      <c r="A535" s="7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</row>
    <row r="536" spans="1:15" ht="14.25" customHeight="1" x14ac:dyDescent="0.35">
      <c r="A536" s="7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</row>
    <row r="537" spans="1:15" ht="14.25" customHeight="1" x14ac:dyDescent="0.35">
      <c r="A537" s="7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</row>
    <row r="538" spans="1:15" ht="14.25" customHeight="1" x14ac:dyDescent="0.35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</row>
    <row r="539" spans="1:15" ht="14.25" customHeight="1" x14ac:dyDescent="0.35">
      <c r="A539" s="7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</row>
    <row r="540" spans="1:15" ht="14.25" customHeight="1" x14ac:dyDescent="0.35">
      <c r="A540" s="7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</row>
    <row r="541" spans="1:15" ht="14.25" customHeight="1" x14ac:dyDescent="0.35">
      <c r="A541" s="7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</row>
    <row r="542" spans="1:15" ht="14.25" customHeight="1" x14ac:dyDescent="0.35">
      <c r="A542" s="7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</row>
    <row r="543" spans="1:15" ht="14.25" customHeight="1" x14ac:dyDescent="0.35">
      <c r="A543" s="7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</row>
    <row r="544" spans="1:15" ht="14.25" customHeight="1" x14ac:dyDescent="0.35">
      <c r="A544" s="7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</row>
    <row r="545" spans="1:15" ht="14.25" customHeight="1" x14ac:dyDescent="0.35">
      <c r="A545" s="7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</row>
    <row r="546" spans="1:15" ht="14.25" customHeight="1" x14ac:dyDescent="0.35">
      <c r="A546" s="7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</row>
    <row r="547" spans="1:15" ht="14.25" customHeight="1" x14ac:dyDescent="0.35">
      <c r="A547" s="7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</row>
    <row r="548" spans="1:15" ht="14.25" customHeight="1" x14ac:dyDescent="0.35">
      <c r="A548" s="7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</row>
    <row r="549" spans="1:15" ht="14.25" customHeight="1" x14ac:dyDescent="0.35">
      <c r="A549" s="7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</row>
    <row r="550" spans="1:15" ht="14.25" customHeight="1" x14ac:dyDescent="0.35">
      <c r="A550" s="7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</row>
    <row r="551" spans="1:15" ht="14.25" customHeight="1" x14ac:dyDescent="0.35">
      <c r="A551" s="7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</row>
    <row r="552" spans="1:15" ht="14.25" customHeight="1" x14ac:dyDescent="0.35">
      <c r="A552" s="7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</row>
    <row r="553" spans="1:15" ht="14.25" customHeight="1" x14ac:dyDescent="0.35">
      <c r="A553" s="7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</row>
    <row r="554" spans="1:15" ht="14.25" customHeight="1" x14ac:dyDescent="0.35">
      <c r="A554" s="7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</row>
    <row r="555" spans="1:15" ht="14.25" customHeight="1" x14ac:dyDescent="0.35">
      <c r="A555" s="7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</row>
    <row r="556" spans="1:15" ht="14.25" customHeight="1" x14ac:dyDescent="0.35">
      <c r="A556" s="7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</row>
    <row r="557" spans="1:15" ht="14.25" customHeight="1" x14ac:dyDescent="0.35">
      <c r="A557" s="7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</row>
    <row r="558" spans="1:15" ht="14.25" customHeight="1" x14ac:dyDescent="0.35">
      <c r="A558" s="7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</row>
    <row r="559" spans="1:15" ht="14.25" customHeight="1" x14ac:dyDescent="0.35">
      <c r="A559" s="7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</row>
    <row r="560" spans="1:15" ht="14.25" customHeight="1" x14ac:dyDescent="0.35">
      <c r="A560" s="7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</row>
    <row r="561" spans="1:15" ht="14.25" customHeight="1" x14ac:dyDescent="0.35">
      <c r="A561" s="7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</row>
    <row r="562" spans="1:15" ht="14.25" customHeight="1" x14ac:dyDescent="0.35">
      <c r="A562" s="7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</row>
    <row r="563" spans="1:15" ht="14.25" customHeight="1" x14ac:dyDescent="0.35">
      <c r="A563" s="7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</row>
    <row r="564" spans="1:15" ht="14.25" customHeight="1" x14ac:dyDescent="0.35">
      <c r="A564" s="7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</row>
    <row r="565" spans="1:15" ht="14.25" customHeight="1" x14ac:dyDescent="0.35">
      <c r="A565" s="7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</row>
    <row r="566" spans="1:15" ht="14.25" customHeight="1" x14ac:dyDescent="0.35">
      <c r="A566" s="7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</row>
    <row r="567" spans="1:15" ht="14.25" customHeight="1" x14ac:dyDescent="0.35">
      <c r="A567" s="7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</row>
    <row r="568" spans="1:15" ht="14.25" customHeight="1" x14ac:dyDescent="0.35">
      <c r="A568" s="7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</row>
    <row r="569" spans="1:15" ht="14.25" customHeight="1" x14ac:dyDescent="0.35">
      <c r="A569" s="7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</row>
    <row r="570" spans="1:15" ht="14.25" customHeight="1" x14ac:dyDescent="0.35">
      <c r="A570" s="7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</row>
    <row r="571" spans="1:15" ht="14.25" customHeight="1" x14ac:dyDescent="0.35">
      <c r="A571" s="7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</row>
    <row r="572" spans="1:15" ht="14.25" customHeight="1" x14ac:dyDescent="0.35">
      <c r="A572" s="7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</row>
    <row r="573" spans="1:15" ht="14.25" customHeight="1" x14ac:dyDescent="0.35">
      <c r="A573" s="7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</row>
    <row r="574" spans="1:15" ht="14.25" customHeight="1" x14ac:dyDescent="0.35">
      <c r="A574" s="7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</row>
    <row r="575" spans="1:15" ht="14.25" customHeight="1" x14ac:dyDescent="0.35">
      <c r="A575" s="7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</row>
    <row r="576" spans="1:15" ht="14.25" customHeight="1" x14ac:dyDescent="0.35">
      <c r="A576" s="7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</row>
    <row r="577" spans="1:15" ht="14.25" customHeight="1" x14ac:dyDescent="0.35">
      <c r="A577" s="7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</row>
    <row r="578" spans="1:15" ht="14.25" customHeight="1" x14ac:dyDescent="0.35">
      <c r="A578" s="7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</row>
    <row r="579" spans="1:15" ht="14.25" customHeight="1" x14ac:dyDescent="0.35">
      <c r="A579" s="7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</row>
    <row r="580" spans="1:15" ht="14.25" customHeight="1" x14ac:dyDescent="0.35">
      <c r="A580" s="7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</row>
    <row r="581" spans="1:15" ht="14.25" customHeight="1" x14ac:dyDescent="0.35">
      <c r="A581" s="7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</row>
    <row r="582" spans="1:15" ht="14.25" customHeight="1" x14ac:dyDescent="0.35">
      <c r="A582" s="7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</row>
    <row r="583" spans="1:15" ht="14.25" customHeight="1" x14ac:dyDescent="0.35">
      <c r="A583" s="7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</row>
    <row r="584" spans="1:15" ht="14.25" customHeight="1" x14ac:dyDescent="0.35">
      <c r="A584" s="7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</row>
    <row r="585" spans="1:15" ht="14.25" customHeight="1" x14ac:dyDescent="0.35">
      <c r="A585" s="7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</row>
    <row r="586" spans="1:15" ht="14.25" customHeight="1" x14ac:dyDescent="0.35">
      <c r="A586" s="7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</row>
    <row r="587" spans="1:15" ht="14.25" customHeight="1" x14ac:dyDescent="0.35">
      <c r="A587" s="7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</row>
    <row r="588" spans="1:15" ht="14.25" customHeight="1" x14ac:dyDescent="0.35">
      <c r="A588" s="7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</row>
    <row r="589" spans="1:15" ht="14.25" customHeight="1" x14ac:dyDescent="0.35">
      <c r="A589" s="7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</row>
    <row r="590" spans="1:15" ht="14.25" customHeight="1" x14ac:dyDescent="0.35">
      <c r="A590" s="7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</row>
    <row r="591" spans="1:15" ht="14.25" customHeight="1" x14ac:dyDescent="0.35">
      <c r="A591" s="7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</row>
    <row r="592" spans="1:15" ht="14.25" customHeight="1" x14ac:dyDescent="0.35">
      <c r="A592" s="7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</row>
    <row r="593" spans="1:15" ht="14.25" customHeight="1" x14ac:dyDescent="0.35">
      <c r="A593" s="7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</row>
    <row r="594" spans="1:15" ht="14.25" customHeight="1" x14ac:dyDescent="0.35">
      <c r="A594" s="7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</row>
    <row r="595" spans="1:15" ht="14.25" customHeight="1" x14ac:dyDescent="0.35">
      <c r="A595" s="7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</row>
    <row r="596" spans="1:15" ht="14.25" customHeight="1" x14ac:dyDescent="0.35">
      <c r="A596" s="7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</row>
    <row r="597" spans="1:15" ht="14.25" customHeight="1" x14ac:dyDescent="0.35">
      <c r="A597" s="7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</row>
    <row r="598" spans="1:15" ht="14.25" customHeight="1" x14ac:dyDescent="0.35">
      <c r="A598" s="7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</row>
    <row r="599" spans="1:15" ht="14.25" customHeight="1" x14ac:dyDescent="0.35">
      <c r="A599" s="7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</row>
    <row r="600" spans="1:15" ht="14.25" customHeight="1" x14ac:dyDescent="0.35">
      <c r="A600" s="7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</row>
    <row r="601" spans="1:15" ht="14.25" customHeight="1" x14ac:dyDescent="0.35">
      <c r="A601" s="7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</row>
    <row r="602" spans="1:15" ht="14.25" customHeight="1" x14ac:dyDescent="0.35">
      <c r="A602" s="7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</row>
    <row r="603" spans="1:15" ht="14.25" customHeight="1" x14ac:dyDescent="0.35">
      <c r="A603" s="7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</row>
    <row r="604" spans="1:15" ht="14.25" customHeight="1" x14ac:dyDescent="0.35">
      <c r="A604" s="7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</row>
    <row r="605" spans="1:15" ht="14.25" customHeight="1" x14ac:dyDescent="0.35">
      <c r="A605" s="7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</row>
    <row r="606" spans="1:15" ht="14.25" customHeight="1" x14ac:dyDescent="0.35">
      <c r="A606" s="7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</row>
    <row r="607" spans="1:15" ht="14.25" customHeight="1" x14ac:dyDescent="0.35">
      <c r="A607" s="7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</row>
    <row r="608" spans="1:15" ht="14.25" customHeight="1" x14ac:dyDescent="0.35">
      <c r="A608" s="7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</row>
    <row r="609" spans="1:15" ht="14.25" customHeight="1" x14ac:dyDescent="0.35">
      <c r="A609" s="7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</row>
    <row r="610" spans="1:15" ht="14.25" customHeight="1" x14ac:dyDescent="0.35">
      <c r="A610" s="7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</row>
    <row r="611" spans="1:15" ht="14.25" customHeight="1" x14ac:dyDescent="0.35">
      <c r="A611" s="7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</row>
    <row r="612" spans="1:15" ht="14.25" customHeight="1" x14ac:dyDescent="0.35">
      <c r="A612" s="7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</row>
    <row r="613" spans="1:15" ht="14.25" customHeight="1" x14ac:dyDescent="0.35">
      <c r="A613" s="7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</row>
    <row r="614" spans="1:15" ht="14.25" customHeight="1" x14ac:dyDescent="0.35">
      <c r="A614" s="7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</row>
    <row r="615" spans="1:15" ht="14.25" customHeight="1" x14ac:dyDescent="0.35">
      <c r="A615" s="7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</row>
    <row r="616" spans="1:15" ht="14.25" customHeight="1" x14ac:dyDescent="0.35">
      <c r="A616" s="7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</row>
    <row r="617" spans="1:15" ht="14.25" customHeight="1" x14ac:dyDescent="0.35">
      <c r="A617" s="7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</row>
    <row r="618" spans="1:15" ht="14.25" customHeight="1" x14ac:dyDescent="0.35">
      <c r="A618" s="7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</row>
    <row r="619" spans="1:15" ht="14.25" customHeight="1" x14ac:dyDescent="0.35">
      <c r="A619" s="7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</row>
    <row r="620" spans="1:15" ht="14.25" customHeight="1" x14ac:dyDescent="0.35">
      <c r="A620" s="7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</row>
    <row r="621" spans="1:15" ht="14.25" customHeight="1" x14ac:dyDescent="0.35">
      <c r="A621" s="7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</row>
    <row r="622" spans="1:15" ht="14.25" customHeight="1" x14ac:dyDescent="0.35">
      <c r="A622" s="7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</row>
    <row r="623" spans="1:15" ht="14.25" customHeight="1" x14ac:dyDescent="0.35">
      <c r="A623" s="7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</row>
    <row r="624" spans="1:15" ht="14.25" customHeight="1" x14ac:dyDescent="0.35">
      <c r="A624" s="7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</row>
    <row r="625" spans="1:15" ht="14.25" customHeight="1" x14ac:dyDescent="0.35">
      <c r="A625" s="7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</row>
    <row r="626" spans="1:15" ht="14.25" customHeight="1" x14ac:dyDescent="0.35">
      <c r="A626" s="7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</row>
    <row r="627" spans="1:15" ht="14.25" customHeight="1" x14ac:dyDescent="0.35">
      <c r="A627" s="7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</row>
    <row r="628" spans="1:15" ht="14.25" customHeight="1" x14ac:dyDescent="0.35">
      <c r="A628" s="7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</row>
    <row r="629" spans="1:15" ht="14.25" customHeight="1" x14ac:dyDescent="0.35">
      <c r="A629" s="7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</row>
    <row r="630" spans="1:15" ht="14.25" customHeight="1" x14ac:dyDescent="0.35">
      <c r="A630" s="7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</row>
    <row r="631" spans="1:15" ht="14.25" customHeight="1" x14ac:dyDescent="0.35">
      <c r="A631" s="7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</row>
    <row r="632" spans="1:15" ht="14.25" customHeight="1" x14ac:dyDescent="0.35">
      <c r="A632" s="7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</row>
    <row r="633" spans="1:15" ht="14.25" customHeight="1" x14ac:dyDescent="0.35">
      <c r="A633" s="7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</row>
    <row r="634" spans="1:15" ht="14.25" customHeight="1" x14ac:dyDescent="0.35">
      <c r="A634" s="7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</row>
    <row r="635" spans="1:15" ht="14.25" customHeight="1" x14ac:dyDescent="0.35">
      <c r="A635" s="7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</row>
    <row r="636" spans="1:15" ht="14.25" customHeight="1" x14ac:dyDescent="0.35">
      <c r="A636" s="7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</row>
    <row r="637" spans="1:15" ht="14.25" customHeight="1" x14ac:dyDescent="0.35">
      <c r="A637" s="7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</row>
    <row r="638" spans="1:15" ht="14.25" customHeight="1" x14ac:dyDescent="0.35">
      <c r="A638" s="7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</row>
    <row r="639" spans="1:15" ht="14.25" customHeight="1" x14ac:dyDescent="0.35">
      <c r="A639" s="7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</row>
    <row r="640" spans="1:15" ht="14.25" customHeight="1" x14ac:dyDescent="0.35">
      <c r="A640" s="7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</row>
    <row r="641" spans="1:15" ht="14.25" customHeight="1" x14ac:dyDescent="0.35">
      <c r="A641" s="7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</row>
    <row r="642" spans="1:15" ht="14.25" customHeight="1" x14ac:dyDescent="0.35">
      <c r="A642" s="7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</row>
    <row r="643" spans="1:15" ht="14.25" customHeight="1" x14ac:dyDescent="0.35">
      <c r="A643" s="7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</row>
    <row r="644" spans="1:15" ht="14.25" customHeight="1" x14ac:dyDescent="0.35">
      <c r="A644" s="7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</row>
    <row r="645" spans="1:15" ht="14.25" customHeight="1" x14ac:dyDescent="0.35">
      <c r="A645" s="7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</row>
    <row r="646" spans="1:15" ht="14.25" customHeight="1" x14ac:dyDescent="0.35">
      <c r="A646" s="7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</row>
    <row r="647" spans="1:15" ht="14.25" customHeight="1" x14ac:dyDescent="0.35">
      <c r="A647" s="7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</row>
    <row r="648" spans="1:15" ht="14.25" customHeight="1" x14ac:dyDescent="0.35">
      <c r="A648" s="7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</row>
    <row r="649" spans="1:15" ht="14.25" customHeight="1" x14ac:dyDescent="0.35">
      <c r="A649" s="7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</row>
    <row r="650" spans="1:15" ht="14.25" customHeight="1" x14ac:dyDescent="0.35">
      <c r="A650" s="7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</row>
    <row r="651" spans="1:15" ht="14.25" customHeight="1" x14ac:dyDescent="0.35">
      <c r="A651" s="7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</row>
    <row r="652" spans="1:15" ht="14.25" customHeight="1" x14ac:dyDescent="0.35">
      <c r="A652" s="7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</row>
    <row r="653" spans="1:15" ht="14.25" customHeight="1" x14ac:dyDescent="0.35">
      <c r="A653" s="7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</row>
    <row r="654" spans="1:15" ht="14.25" customHeight="1" x14ac:dyDescent="0.35">
      <c r="A654" s="7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</row>
    <row r="655" spans="1:15" ht="14.25" customHeight="1" x14ac:dyDescent="0.35">
      <c r="A655" s="7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</row>
    <row r="656" spans="1:15" ht="14.25" customHeight="1" x14ac:dyDescent="0.35">
      <c r="A656" s="7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</row>
    <row r="657" spans="1:15" ht="14.25" customHeight="1" x14ac:dyDescent="0.35">
      <c r="A657" s="7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</row>
    <row r="658" spans="1:15" ht="14.25" customHeight="1" x14ac:dyDescent="0.35">
      <c r="A658" s="7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</row>
    <row r="659" spans="1:15" ht="14.25" customHeight="1" x14ac:dyDescent="0.35">
      <c r="A659" s="7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</row>
    <row r="660" spans="1:15" ht="14.25" customHeight="1" x14ac:dyDescent="0.35">
      <c r="A660" s="7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</row>
    <row r="661" spans="1:15" ht="14.25" customHeight="1" x14ac:dyDescent="0.35">
      <c r="A661" s="7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</row>
    <row r="662" spans="1:15" ht="14.25" customHeight="1" x14ac:dyDescent="0.35">
      <c r="A662" s="7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</row>
    <row r="663" spans="1:15" ht="14.25" customHeight="1" x14ac:dyDescent="0.35">
      <c r="A663" s="7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</row>
    <row r="664" spans="1:15" ht="14.25" customHeight="1" x14ac:dyDescent="0.35">
      <c r="A664" s="7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</row>
    <row r="665" spans="1:15" ht="14.25" customHeight="1" x14ac:dyDescent="0.35">
      <c r="A665" s="7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</row>
    <row r="666" spans="1:15" ht="14.25" customHeight="1" x14ac:dyDescent="0.35">
      <c r="A666" s="7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</row>
    <row r="667" spans="1:15" ht="14.25" customHeight="1" x14ac:dyDescent="0.35">
      <c r="A667" s="7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</row>
    <row r="668" spans="1:15" ht="14.25" customHeight="1" x14ac:dyDescent="0.35">
      <c r="A668" s="7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</row>
    <row r="669" spans="1:15" ht="14.25" customHeight="1" x14ac:dyDescent="0.35">
      <c r="A669" s="7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</row>
    <row r="670" spans="1:15" ht="14.25" customHeight="1" x14ac:dyDescent="0.35">
      <c r="A670" s="7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</row>
    <row r="671" spans="1:15" ht="14.25" customHeight="1" x14ac:dyDescent="0.35">
      <c r="A671" s="7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</row>
    <row r="672" spans="1:15" ht="14.25" customHeight="1" x14ac:dyDescent="0.35">
      <c r="A672" s="7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</row>
    <row r="673" spans="1:15" ht="14.25" customHeight="1" x14ac:dyDescent="0.35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</row>
    <row r="674" spans="1:15" ht="14.25" customHeight="1" x14ac:dyDescent="0.35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</row>
    <row r="675" spans="1:15" ht="14.25" customHeight="1" x14ac:dyDescent="0.35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</row>
    <row r="676" spans="1:15" ht="14.25" customHeight="1" x14ac:dyDescent="0.35">
      <c r="A676" s="7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</row>
    <row r="677" spans="1:15" ht="14.25" customHeight="1" x14ac:dyDescent="0.35">
      <c r="A677" s="7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</row>
    <row r="678" spans="1:15" ht="14.25" customHeight="1" x14ac:dyDescent="0.35">
      <c r="A678" s="7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</row>
    <row r="679" spans="1:15" ht="14.25" customHeight="1" x14ac:dyDescent="0.35">
      <c r="A679" s="7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</row>
    <row r="680" spans="1:15" ht="14.25" customHeight="1" x14ac:dyDescent="0.35">
      <c r="A680" s="7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</row>
    <row r="681" spans="1:15" ht="14.25" customHeight="1" x14ac:dyDescent="0.35">
      <c r="A681" s="7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</row>
    <row r="682" spans="1:15" ht="14.25" customHeight="1" x14ac:dyDescent="0.35">
      <c r="A682" s="7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</row>
    <row r="683" spans="1:15" ht="14.25" customHeight="1" x14ac:dyDescent="0.35">
      <c r="A683" s="7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</row>
    <row r="684" spans="1:15" ht="14.25" customHeight="1" x14ac:dyDescent="0.35">
      <c r="A684" s="7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</row>
    <row r="685" spans="1:15" ht="14.25" customHeight="1" x14ac:dyDescent="0.35">
      <c r="A685" s="7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</row>
    <row r="686" spans="1:15" ht="14.25" customHeight="1" x14ac:dyDescent="0.35">
      <c r="A686" s="7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</row>
    <row r="687" spans="1:15" ht="14.25" customHeight="1" x14ac:dyDescent="0.35">
      <c r="A687" s="7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</row>
    <row r="688" spans="1:15" ht="14.25" customHeight="1" x14ac:dyDescent="0.35">
      <c r="A688" s="7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</row>
    <row r="689" spans="1:15" ht="14.25" customHeight="1" x14ac:dyDescent="0.35">
      <c r="A689" s="7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</row>
    <row r="690" spans="1:15" ht="14.25" customHeight="1" x14ac:dyDescent="0.35">
      <c r="A690" s="7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</row>
    <row r="691" spans="1:15" ht="14.25" customHeight="1" x14ac:dyDescent="0.35">
      <c r="A691" s="7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</row>
    <row r="692" spans="1:15" ht="14.25" customHeight="1" x14ac:dyDescent="0.35">
      <c r="A692" s="7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</row>
    <row r="693" spans="1:15" ht="14.25" customHeight="1" x14ac:dyDescent="0.35">
      <c r="A693" s="7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</row>
    <row r="694" spans="1:15" ht="14.25" customHeight="1" x14ac:dyDescent="0.35">
      <c r="A694" s="7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</row>
    <row r="695" spans="1:15" ht="14.25" customHeight="1" x14ac:dyDescent="0.35">
      <c r="A695" s="7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</row>
    <row r="696" spans="1:15" ht="14.25" customHeight="1" x14ac:dyDescent="0.35">
      <c r="A696" s="7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</row>
    <row r="697" spans="1:15" ht="14.25" customHeight="1" x14ac:dyDescent="0.35">
      <c r="A697" s="7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</row>
    <row r="698" spans="1:15" ht="14.25" customHeight="1" x14ac:dyDescent="0.35">
      <c r="A698" s="7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</row>
    <row r="699" spans="1:15" ht="14.25" customHeight="1" x14ac:dyDescent="0.35">
      <c r="A699" s="7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</row>
    <row r="700" spans="1:15" ht="14.25" customHeight="1" x14ac:dyDescent="0.35">
      <c r="A700" s="7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</row>
    <row r="701" spans="1:15" ht="14.25" customHeight="1" x14ac:dyDescent="0.35">
      <c r="A701" s="7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</row>
    <row r="702" spans="1:15" ht="14.25" customHeight="1" x14ac:dyDescent="0.35">
      <c r="A702" s="7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</row>
    <row r="703" spans="1:15" ht="14.25" customHeight="1" x14ac:dyDescent="0.35">
      <c r="A703" s="7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</row>
    <row r="704" spans="1:15" ht="14.25" customHeight="1" x14ac:dyDescent="0.35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</row>
    <row r="705" spans="1:15" ht="14.25" customHeight="1" x14ac:dyDescent="0.35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</row>
    <row r="706" spans="1:15" ht="14.25" customHeight="1" x14ac:dyDescent="0.35">
      <c r="A706" s="7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</row>
    <row r="707" spans="1:15" ht="14.25" customHeight="1" x14ac:dyDescent="0.35">
      <c r="A707" s="7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</row>
    <row r="708" spans="1:15" ht="14.25" customHeight="1" x14ac:dyDescent="0.35">
      <c r="A708" s="7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</row>
    <row r="709" spans="1:15" ht="14.25" customHeight="1" x14ac:dyDescent="0.35">
      <c r="A709" s="7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</row>
    <row r="710" spans="1:15" ht="14.25" customHeight="1" x14ac:dyDescent="0.35">
      <c r="A710" s="7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</row>
    <row r="711" spans="1:15" ht="14.25" customHeight="1" x14ac:dyDescent="0.35">
      <c r="A711" s="7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</row>
    <row r="712" spans="1:15" ht="14.25" customHeight="1" x14ac:dyDescent="0.35">
      <c r="A712" s="7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</row>
    <row r="713" spans="1:15" ht="14.25" customHeight="1" x14ac:dyDescent="0.35">
      <c r="A713" s="7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</row>
    <row r="714" spans="1:15" ht="14.25" customHeight="1" x14ac:dyDescent="0.35">
      <c r="A714" s="7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</row>
    <row r="715" spans="1:15" ht="14.25" customHeight="1" x14ac:dyDescent="0.35">
      <c r="A715" s="7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</row>
    <row r="716" spans="1:15" ht="14.25" customHeight="1" x14ac:dyDescent="0.35">
      <c r="A716" s="7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</row>
    <row r="717" spans="1:15" ht="14.25" customHeight="1" x14ac:dyDescent="0.35">
      <c r="A717" s="7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</row>
    <row r="718" spans="1:15" ht="14.25" customHeight="1" x14ac:dyDescent="0.35">
      <c r="A718" s="7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</row>
    <row r="719" spans="1:15" ht="14.25" customHeight="1" x14ac:dyDescent="0.35">
      <c r="A719" s="7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</row>
    <row r="720" spans="1:15" ht="14.25" customHeight="1" x14ac:dyDescent="0.35">
      <c r="A720" s="7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</row>
    <row r="721" spans="1:15" ht="14.25" customHeight="1" x14ac:dyDescent="0.35">
      <c r="A721" s="7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</row>
    <row r="722" spans="1:15" ht="14.25" customHeight="1" x14ac:dyDescent="0.35">
      <c r="A722" s="7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</row>
    <row r="723" spans="1:15" ht="14.25" customHeight="1" x14ac:dyDescent="0.35">
      <c r="A723" s="7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</row>
    <row r="724" spans="1:15" ht="14.25" customHeight="1" x14ac:dyDescent="0.35">
      <c r="A724" s="7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</row>
    <row r="725" spans="1:15" ht="14.25" customHeight="1" x14ac:dyDescent="0.35">
      <c r="A725" s="7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</row>
    <row r="726" spans="1:15" ht="14.25" customHeight="1" x14ac:dyDescent="0.35">
      <c r="A726" s="7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</row>
    <row r="727" spans="1:15" ht="14.25" customHeight="1" x14ac:dyDescent="0.35">
      <c r="A727" s="7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</row>
    <row r="728" spans="1:15" ht="14.25" customHeight="1" x14ac:dyDescent="0.35">
      <c r="A728" s="7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</row>
    <row r="729" spans="1:15" ht="14.25" customHeight="1" x14ac:dyDescent="0.35">
      <c r="A729" s="7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</row>
    <row r="730" spans="1:15" ht="14.25" customHeight="1" x14ac:dyDescent="0.35">
      <c r="A730" s="7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</row>
    <row r="731" spans="1:15" ht="14.25" customHeight="1" x14ac:dyDescent="0.35">
      <c r="A731" s="7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</row>
    <row r="732" spans="1:15" ht="14.25" customHeight="1" x14ac:dyDescent="0.35">
      <c r="A732" s="7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</row>
    <row r="733" spans="1:15" ht="14.25" customHeight="1" x14ac:dyDescent="0.35">
      <c r="A733" s="7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</row>
    <row r="734" spans="1:15" ht="14.25" customHeight="1" x14ac:dyDescent="0.35">
      <c r="A734" s="7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</row>
    <row r="735" spans="1:15" ht="14.25" customHeight="1" x14ac:dyDescent="0.35">
      <c r="A735" s="7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</row>
    <row r="736" spans="1:15" ht="14.25" customHeight="1" x14ac:dyDescent="0.35">
      <c r="A736" s="7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</row>
    <row r="737" spans="1:15" ht="14.25" customHeight="1" x14ac:dyDescent="0.35">
      <c r="A737" s="7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</row>
    <row r="738" spans="1:15" ht="14.25" customHeight="1" x14ac:dyDescent="0.35">
      <c r="A738" s="7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</row>
    <row r="739" spans="1:15" ht="14.25" customHeight="1" x14ac:dyDescent="0.35">
      <c r="A739" s="7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</row>
    <row r="740" spans="1:15" ht="14.25" customHeight="1" x14ac:dyDescent="0.35">
      <c r="A740" s="7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</row>
    <row r="741" spans="1:15" ht="14.25" customHeight="1" x14ac:dyDescent="0.35">
      <c r="A741" s="7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</row>
    <row r="742" spans="1:15" ht="14.25" customHeight="1" x14ac:dyDescent="0.35">
      <c r="A742" s="7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</row>
    <row r="743" spans="1:15" ht="14.25" customHeight="1" x14ac:dyDescent="0.35">
      <c r="A743" s="7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</row>
    <row r="744" spans="1:15" ht="14.25" customHeight="1" x14ac:dyDescent="0.35">
      <c r="A744" s="7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</row>
    <row r="745" spans="1:15" ht="14.25" customHeight="1" x14ac:dyDescent="0.35">
      <c r="A745" s="7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</row>
    <row r="746" spans="1:15" ht="14.25" customHeight="1" x14ac:dyDescent="0.35">
      <c r="A746" s="7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</row>
    <row r="747" spans="1:15" ht="14.25" customHeight="1" x14ac:dyDescent="0.35">
      <c r="A747" s="7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</row>
    <row r="748" spans="1:15" ht="14.25" customHeight="1" x14ac:dyDescent="0.35">
      <c r="A748" s="7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</row>
    <row r="749" spans="1:15" ht="14.25" customHeight="1" x14ac:dyDescent="0.35">
      <c r="A749" s="7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</row>
    <row r="750" spans="1:15" ht="14.25" customHeight="1" x14ac:dyDescent="0.35">
      <c r="A750" s="7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</row>
    <row r="751" spans="1:15" ht="14.25" customHeight="1" x14ac:dyDescent="0.35">
      <c r="A751" s="7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</row>
    <row r="752" spans="1:15" ht="14.25" customHeight="1" x14ac:dyDescent="0.35">
      <c r="A752" s="7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</row>
    <row r="753" spans="1:15" ht="14.25" customHeight="1" x14ac:dyDescent="0.35">
      <c r="A753" s="7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</row>
    <row r="754" spans="1:15" ht="14.25" customHeight="1" x14ac:dyDescent="0.35">
      <c r="A754" s="7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</row>
    <row r="755" spans="1:15" ht="14.25" customHeight="1" x14ac:dyDescent="0.35">
      <c r="A755" s="7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</row>
    <row r="756" spans="1:15" ht="14.25" customHeight="1" x14ac:dyDescent="0.35">
      <c r="A756" s="7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</row>
    <row r="757" spans="1:15" ht="14.25" customHeight="1" x14ac:dyDescent="0.35">
      <c r="A757" s="7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</row>
    <row r="758" spans="1:15" ht="14.25" customHeight="1" x14ac:dyDescent="0.35">
      <c r="A758" s="7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</row>
    <row r="759" spans="1:15" ht="14.25" customHeight="1" x14ac:dyDescent="0.35">
      <c r="A759" s="7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</row>
    <row r="760" spans="1:15" ht="14.25" customHeight="1" x14ac:dyDescent="0.35">
      <c r="A760" s="7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</row>
    <row r="761" spans="1:15" ht="14.25" customHeight="1" x14ac:dyDescent="0.35">
      <c r="A761" s="7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</row>
    <row r="762" spans="1:15" ht="14.25" customHeight="1" x14ac:dyDescent="0.35">
      <c r="A762" s="7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</row>
    <row r="763" spans="1:15" ht="14.25" customHeight="1" x14ac:dyDescent="0.35">
      <c r="A763" s="7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</row>
    <row r="764" spans="1:15" ht="14.25" customHeight="1" x14ac:dyDescent="0.35">
      <c r="A764" s="7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</row>
    <row r="765" spans="1:15" ht="14.25" customHeight="1" x14ac:dyDescent="0.35">
      <c r="A765" s="7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</row>
    <row r="766" spans="1:15" ht="14.25" customHeight="1" x14ac:dyDescent="0.35">
      <c r="A766" s="7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</row>
    <row r="767" spans="1:15" ht="14.25" customHeight="1" x14ac:dyDescent="0.35">
      <c r="A767" s="7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</row>
    <row r="768" spans="1:15" ht="14.25" customHeight="1" x14ac:dyDescent="0.35">
      <c r="A768" s="7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</row>
    <row r="769" spans="1:15" ht="14.25" customHeight="1" x14ac:dyDescent="0.35">
      <c r="A769" s="7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</row>
    <row r="770" spans="1:15" ht="14.25" customHeight="1" x14ac:dyDescent="0.35">
      <c r="A770" s="7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</row>
    <row r="771" spans="1:15" ht="14.25" customHeight="1" x14ac:dyDescent="0.35">
      <c r="A771" s="7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</row>
    <row r="772" spans="1:15" ht="14.25" customHeight="1" x14ac:dyDescent="0.35">
      <c r="A772" s="7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</row>
    <row r="773" spans="1:15" ht="14.25" customHeight="1" x14ac:dyDescent="0.35">
      <c r="A773" s="7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</row>
    <row r="774" spans="1:15" ht="14.25" customHeight="1" x14ac:dyDescent="0.35">
      <c r="A774" s="7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</row>
    <row r="775" spans="1:15" ht="14.25" customHeight="1" x14ac:dyDescent="0.35">
      <c r="A775" s="7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</row>
    <row r="776" spans="1:15" ht="14.25" customHeight="1" x14ac:dyDescent="0.35">
      <c r="A776" s="7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</row>
    <row r="777" spans="1:15" ht="14.25" customHeight="1" x14ac:dyDescent="0.35">
      <c r="A777" s="7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</row>
    <row r="778" spans="1:15" ht="14.25" customHeight="1" x14ac:dyDescent="0.35">
      <c r="A778" s="7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</row>
    <row r="779" spans="1:15" ht="14.25" customHeight="1" x14ac:dyDescent="0.35">
      <c r="A779" s="7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</row>
    <row r="780" spans="1:15" ht="14.25" customHeight="1" x14ac:dyDescent="0.35">
      <c r="A780" s="7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</row>
    <row r="781" spans="1:15" ht="14.25" customHeight="1" x14ac:dyDescent="0.35">
      <c r="A781" s="7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</row>
    <row r="782" spans="1:15" ht="14.25" customHeight="1" x14ac:dyDescent="0.35">
      <c r="A782" s="7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</row>
    <row r="783" spans="1:15" ht="14.25" customHeight="1" x14ac:dyDescent="0.35">
      <c r="A783" s="7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</row>
    <row r="784" spans="1:15" ht="14.25" customHeight="1" x14ac:dyDescent="0.35">
      <c r="A784" s="7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</row>
    <row r="785" spans="1:15" ht="14.25" customHeight="1" x14ac:dyDescent="0.35">
      <c r="A785" s="7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</row>
    <row r="786" spans="1:15" ht="14.25" customHeight="1" x14ac:dyDescent="0.35">
      <c r="A786" s="7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</row>
    <row r="787" spans="1:15" ht="14.25" customHeight="1" x14ac:dyDescent="0.35">
      <c r="A787" s="7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</row>
    <row r="788" spans="1:15" ht="14.25" customHeight="1" x14ac:dyDescent="0.35">
      <c r="A788" s="7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</row>
    <row r="789" spans="1:15" ht="14.25" customHeight="1" x14ac:dyDescent="0.35">
      <c r="A789" s="7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</row>
    <row r="790" spans="1:15" ht="14.25" customHeight="1" x14ac:dyDescent="0.35">
      <c r="A790" s="7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</row>
    <row r="791" spans="1:15" ht="14.25" customHeight="1" x14ac:dyDescent="0.35">
      <c r="A791" s="7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</row>
    <row r="792" spans="1:15" ht="14.25" customHeight="1" x14ac:dyDescent="0.35">
      <c r="A792" s="7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</row>
    <row r="793" spans="1:15" ht="14.25" customHeight="1" x14ac:dyDescent="0.35">
      <c r="A793" s="7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</row>
    <row r="794" spans="1:15" ht="14.25" customHeight="1" x14ac:dyDescent="0.35">
      <c r="A794" s="7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</row>
    <row r="795" spans="1:15" ht="14.25" customHeight="1" x14ac:dyDescent="0.35">
      <c r="A795" s="7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</row>
    <row r="796" spans="1:15" ht="14.25" customHeight="1" x14ac:dyDescent="0.35">
      <c r="A796" s="7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</row>
    <row r="797" spans="1:15" ht="14.25" customHeight="1" x14ac:dyDescent="0.35">
      <c r="A797" s="7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</row>
    <row r="798" spans="1:15" ht="14.25" customHeight="1" x14ac:dyDescent="0.35">
      <c r="A798" s="7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</row>
    <row r="799" spans="1:15" ht="14.25" customHeight="1" x14ac:dyDescent="0.35">
      <c r="A799" s="7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</row>
    <row r="800" spans="1:15" ht="14.25" customHeight="1" x14ac:dyDescent="0.35">
      <c r="A800" s="7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</row>
    <row r="801" spans="1:15" ht="14.25" customHeight="1" x14ac:dyDescent="0.35">
      <c r="A801" s="7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</row>
    <row r="802" spans="1:15" ht="14.25" customHeight="1" x14ac:dyDescent="0.35">
      <c r="A802" s="7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</row>
    <row r="803" spans="1:15" ht="14.25" customHeight="1" x14ac:dyDescent="0.35">
      <c r="A803" s="7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</row>
    <row r="804" spans="1:15" ht="14.25" customHeight="1" x14ac:dyDescent="0.35">
      <c r="A804" s="7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</row>
    <row r="805" spans="1:15" ht="14.25" customHeight="1" x14ac:dyDescent="0.35">
      <c r="A805" s="7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</row>
    <row r="806" spans="1:15" ht="14.25" customHeight="1" x14ac:dyDescent="0.35">
      <c r="A806" s="7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</row>
    <row r="807" spans="1:15" ht="14.25" customHeight="1" x14ac:dyDescent="0.35">
      <c r="A807" s="7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</row>
    <row r="808" spans="1:15" ht="14.25" customHeight="1" x14ac:dyDescent="0.35">
      <c r="A808" s="7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</row>
    <row r="809" spans="1:15" ht="14.25" customHeight="1" x14ac:dyDescent="0.35">
      <c r="A809" s="7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</row>
    <row r="810" spans="1:15" ht="14.25" customHeight="1" x14ac:dyDescent="0.35">
      <c r="A810" s="7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</row>
    <row r="811" spans="1:15" ht="14.25" customHeight="1" x14ac:dyDescent="0.35">
      <c r="A811" s="7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</row>
    <row r="812" spans="1:15" ht="14.25" customHeight="1" x14ac:dyDescent="0.35">
      <c r="A812" s="7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</row>
    <row r="813" spans="1:15" ht="14.25" customHeight="1" x14ac:dyDescent="0.35">
      <c r="A813" s="7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</row>
    <row r="814" spans="1:15" ht="14.25" customHeight="1" x14ac:dyDescent="0.35">
      <c r="A814" s="7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</row>
    <row r="815" spans="1:15" ht="14.25" customHeight="1" x14ac:dyDescent="0.35">
      <c r="A815" s="7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</row>
    <row r="816" spans="1:15" ht="14.25" customHeight="1" x14ac:dyDescent="0.35">
      <c r="A816" s="7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</row>
    <row r="817" spans="1:15" ht="14.25" customHeight="1" x14ac:dyDescent="0.35">
      <c r="A817" s="7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</row>
    <row r="818" spans="1:15" ht="14.25" customHeight="1" x14ac:dyDescent="0.35">
      <c r="A818" s="7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</row>
    <row r="819" spans="1:15" ht="14.25" customHeight="1" x14ac:dyDescent="0.35">
      <c r="A819" s="7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</row>
    <row r="820" spans="1:15" ht="14.25" customHeight="1" x14ac:dyDescent="0.35">
      <c r="A820" s="7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</row>
    <row r="821" spans="1:15" ht="14.25" customHeight="1" x14ac:dyDescent="0.35">
      <c r="A821" s="7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</row>
    <row r="822" spans="1:15" ht="14.25" customHeight="1" x14ac:dyDescent="0.35">
      <c r="A822" s="7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</row>
    <row r="823" spans="1:15" ht="14.25" customHeight="1" x14ac:dyDescent="0.35">
      <c r="A823" s="7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</row>
    <row r="824" spans="1:15" ht="14.25" customHeight="1" x14ac:dyDescent="0.35">
      <c r="A824" s="7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</row>
    <row r="825" spans="1:15" ht="14.25" customHeight="1" x14ac:dyDescent="0.35">
      <c r="A825" s="7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</row>
    <row r="826" spans="1:15" ht="14.25" customHeight="1" x14ac:dyDescent="0.35">
      <c r="A826" s="7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</row>
    <row r="827" spans="1:15" ht="14.25" customHeight="1" x14ac:dyDescent="0.35">
      <c r="A827" s="7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</row>
    <row r="828" spans="1:15" ht="14.25" customHeight="1" x14ac:dyDescent="0.35">
      <c r="A828" s="7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</row>
    <row r="829" spans="1:15" ht="14.25" customHeight="1" x14ac:dyDescent="0.35">
      <c r="A829" s="7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</row>
    <row r="830" spans="1:15" ht="14.25" customHeight="1" x14ac:dyDescent="0.35">
      <c r="A830" s="7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</row>
    <row r="831" spans="1:15" ht="14.25" customHeight="1" x14ac:dyDescent="0.35">
      <c r="A831" s="7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</row>
    <row r="832" spans="1:15" ht="14.25" customHeight="1" x14ac:dyDescent="0.35">
      <c r="A832" s="7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</row>
    <row r="833" spans="1:15" ht="14.25" customHeight="1" x14ac:dyDescent="0.35">
      <c r="A833" s="7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</row>
    <row r="834" spans="1:15" ht="14.25" customHeight="1" x14ac:dyDescent="0.35">
      <c r="A834" s="7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</row>
    <row r="835" spans="1:15" ht="14.25" customHeight="1" x14ac:dyDescent="0.35">
      <c r="A835" s="7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</row>
    <row r="836" spans="1:15" ht="14.25" customHeight="1" x14ac:dyDescent="0.35">
      <c r="A836" s="7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</row>
    <row r="837" spans="1:15" ht="14.25" customHeight="1" x14ac:dyDescent="0.35">
      <c r="A837" s="7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</row>
    <row r="838" spans="1:15" ht="14.25" customHeight="1" x14ac:dyDescent="0.35">
      <c r="A838" s="7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</row>
    <row r="839" spans="1:15" ht="14.25" customHeight="1" x14ac:dyDescent="0.35">
      <c r="A839" s="7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</row>
    <row r="840" spans="1:15" ht="14.25" customHeight="1" x14ac:dyDescent="0.35">
      <c r="A840" s="7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</row>
    <row r="841" spans="1:15" ht="14.25" customHeight="1" x14ac:dyDescent="0.35">
      <c r="A841" s="7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</row>
    <row r="842" spans="1:15" ht="14.25" customHeight="1" x14ac:dyDescent="0.35">
      <c r="A842" s="7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</row>
    <row r="843" spans="1:15" ht="14.25" customHeight="1" x14ac:dyDescent="0.35">
      <c r="A843" s="7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</row>
    <row r="844" spans="1:15" ht="14.25" customHeight="1" x14ac:dyDescent="0.35">
      <c r="A844" s="7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</row>
    <row r="845" spans="1:15" ht="14.25" customHeight="1" x14ac:dyDescent="0.35">
      <c r="A845" s="7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</row>
    <row r="846" spans="1:15" ht="14.25" customHeight="1" x14ac:dyDescent="0.35">
      <c r="A846" s="7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</row>
    <row r="847" spans="1:15" ht="14.25" customHeight="1" x14ac:dyDescent="0.35">
      <c r="A847" s="7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</row>
    <row r="848" spans="1:15" ht="14.25" customHeight="1" x14ac:dyDescent="0.35">
      <c r="A848" s="7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</row>
    <row r="849" spans="1:15" ht="14.25" customHeight="1" x14ac:dyDescent="0.35">
      <c r="A849" s="7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</row>
    <row r="850" spans="1:15" ht="14.25" customHeight="1" x14ac:dyDescent="0.35">
      <c r="A850" s="7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</row>
    <row r="851" spans="1:15" ht="14.25" customHeight="1" x14ac:dyDescent="0.35">
      <c r="A851" s="7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</row>
    <row r="852" spans="1:15" ht="14.25" customHeight="1" x14ac:dyDescent="0.35">
      <c r="A852" s="7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</row>
    <row r="853" spans="1:15" ht="14.25" customHeight="1" x14ac:dyDescent="0.35">
      <c r="A853" s="7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</row>
    <row r="854" spans="1:15" ht="14.25" customHeight="1" x14ac:dyDescent="0.35">
      <c r="A854" s="7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</row>
    <row r="855" spans="1:15" ht="14.25" customHeight="1" x14ac:dyDescent="0.35">
      <c r="A855" s="7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</row>
    <row r="856" spans="1:15" ht="14.25" customHeight="1" x14ac:dyDescent="0.35">
      <c r="A856" s="7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</row>
    <row r="857" spans="1:15" ht="14.25" customHeight="1" x14ac:dyDescent="0.35">
      <c r="A857" s="7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</row>
    <row r="858" spans="1:15" ht="14.25" customHeight="1" x14ac:dyDescent="0.35">
      <c r="A858" s="7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</row>
    <row r="859" spans="1:15" ht="14.25" customHeight="1" x14ac:dyDescent="0.35">
      <c r="A859" s="7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</row>
    <row r="860" spans="1:15" ht="14.25" customHeight="1" x14ac:dyDescent="0.35">
      <c r="A860" s="7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</row>
    <row r="861" spans="1:15" ht="14.25" customHeight="1" x14ac:dyDescent="0.35">
      <c r="A861" s="7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</row>
    <row r="862" spans="1:15" ht="14.25" customHeight="1" x14ac:dyDescent="0.35">
      <c r="A862" s="7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</row>
    <row r="863" spans="1:15" ht="14.25" customHeight="1" x14ac:dyDescent="0.35">
      <c r="A863" s="7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</row>
    <row r="864" spans="1:15" ht="14.25" customHeight="1" x14ac:dyDescent="0.35">
      <c r="A864" s="7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</row>
    <row r="865" spans="1:15" ht="14.25" customHeight="1" x14ac:dyDescent="0.35">
      <c r="A865" s="7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</row>
    <row r="866" spans="1:15" ht="14.25" customHeight="1" x14ac:dyDescent="0.35">
      <c r="A866" s="7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</row>
    <row r="867" spans="1:15" ht="14.25" customHeight="1" x14ac:dyDescent="0.35">
      <c r="A867" s="7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</row>
    <row r="868" spans="1:15" ht="14.25" customHeight="1" x14ac:dyDescent="0.35">
      <c r="A868" s="7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</row>
    <row r="869" spans="1:15" ht="14.25" customHeight="1" x14ac:dyDescent="0.35">
      <c r="A869" s="7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</row>
    <row r="870" spans="1:15" ht="14.25" customHeight="1" x14ac:dyDescent="0.35">
      <c r="A870" s="7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</row>
    <row r="871" spans="1:15" ht="14.25" customHeight="1" x14ac:dyDescent="0.35">
      <c r="A871" s="7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</row>
    <row r="872" spans="1:15" ht="14.25" customHeight="1" x14ac:dyDescent="0.35">
      <c r="A872" s="7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</row>
    <row r="873" spans="1:15" ht="14.25" customHeight="1" x14ac:dyDescent="0.35">
      <c r="A873" s="7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</row>
    <row r="874" spans="1:15" ht="14.25" customHeight="1" x14ac:dyDescent="0.35">
      <c r="A874" s="7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</row>
    <row r="875" spans="1:15" ht="14.25" customHeight="1" x14ac:dyDescent="0.35">
      <c r="A875" s="7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</row>
    <row r="876" spans="1:15" ht="14.25" customHeight="1" x14ac:dyDescent="0.35">
      <c r="A876" s="7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</row>
    <row r="877" spans="1:15" ht="14.25" customHeight="1" x14ac:dyDescent="0.35">
      <c r="A877" s="7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</row>
    <row r="878" spans="1:15" ht="14.25" customHeight="1" x14ac:dyDescent="0.35">
      <c r="A878" s="7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</row>
    <row r="879" spans="1:15" ht="14.25" customHeight="1" x14ac:dyDescent="0.35">
      <c r="A879" s="7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</row>
    <row r="880" spans="1:15" ht="14.25" customHeight="1" x14ac:dyDescent="0.35">
      <c r="A880" s="7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</row>
    <row r="881" spans="1:15" ht="14.25" customHeight="1" x14ac:dyDescent="0.35">
      <c r="A881" s="7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</row>
    <row r="882" spans="1:15" ht="14.25" customHeight="1" x14ac:dyDescent="0.35">
      <c r="A882" s="7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</row>
    <row r="883" spans="1:15" ht="14.25" customHeight="1" x14ac:dyDescent="0.35">
      <c r="A883" s="7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</row>
    <row r="884" spans="1:15" ht="14.25" customHeight="1" x14ac:dyDescent="0.35">
      <c r="A884" s="7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</row>
    <row r="885" spans="1:15" ht="14.25" customHeight="1" x14ac:dyDescent="0.35">
      <c r="A885" s="7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</row>
    <row r="886" spans="1:15" ht="14.25" customHeight="1" x14ac:dyDescent="0.35">
      <c r="A886" s="7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</row>
    <row r="887" spans="1:15" ht="14.25" customHeight="1" x14ac:dyDescent="0.35">
      <c r="A887" s="7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</row>
    <row r="888" spans="1:15" ht="14.25" customHeight="1" x14ac:dyDescent="0.35">
      <c r="A888" s="7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</row>
    <row r="889" spans="1:15" ht="14.25" customHeight="1" x14ac:dyDescent="0.35">
      <c r="A889" s="7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</row>
    <row r="890" spans="1:15" ht="14.25" customHeight="1" x14ac:dyDescent="0.35">
      <c r="A890" s="7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</row>
    <row r="891" spans="1:15" ht="14.25" customHeight="1" x14ac:dyDescent="0.35">
      <c r="A891" s="7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</row>
    <row r="892" spans="1:15" ht="14.25" customHeight="1" x14ac:dyDescent="0.35">
      <c r="A892" s="7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</row>
    <row r="893" spans="1:15" ht="14.25" customHeight="1" x14ac:dyDescent="0.35">
      <c r="A893" s="7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</row>
    <row r="894" spans="1:15" ht="14.25" customHeight="1" x14ac:dyDescent="0.35">
      <c r="A894" s="7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</row>
    <row r="895" spans="1:15" ht="14.25" customHeight="1" x14ac:dyDescent="0.35">
      <c r="A895" s="7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</row>
    <row r="896" spans="1:15" ht="14.25" customHeight="1" x14ac:dyDescent="0.35">
      <c r="A896" s="7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</row>
    <row r="897" spans="1:15" ht="14.25" customHeight="1" x14ac:dyDescent="0.35">
      <c r="A897" s="7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</row>
    <row r="898" spans="1:15" ht="14.25" customHeight="1" x14ac:dyDescent="0.35">
      <c r="A898" s="7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</row>
    <row r="899" spans="1:15" ht="14.25" customHeight="1" x14ac:dyDescent="0.35">
      <c r="A899" s="7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</row>
    <row r="900" spans="1:15" ht="14.25" customHeight="1" x14ac:dyDescent="0.35">
      <c r="A900" s="7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</row>
    <row r="901" spans="1:15" ht="14.25" customHeight="1" x14ac:dyDescent="0.35">
      <c r="A901" s="7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</row>
    <row r="902" spans="1:15" ht="14.25" customHeight="1" x14ac:dyDescent="0.35">
      <c r="A902" s="7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</row>
    <row r="903" spans="1:15" ht="14.25" customHeight="1" x14ac:dyDescent="0.35">
      <c r="A903" s="7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</row>
    <row r="904" spans="1:15" ht="14.25" customHeight="1" x14ac:dyDescent="0.35">
      <c r="A904" s="7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</row>
    <row r="905" spans="1:15" ht="14.25" customHeight="1" x14ac:dyDescent="0.35">
      <c r="A905" s="7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</row>
    <row r="906" spans="1:15" ht="14.25" customHeight="1" x14ac:dyDescent="0.35">
      <c r="A906" s="7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</row>
    <row r="907" spans="1:15" ht="14.25" customHeight="1" x14ac:dyDescent="0.35">
      <c r="A907" s="7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</row>
    <row r="908" spans="1:15" ht="14.25" customHeight="1" x14ac:dyDescent="0.35">
      <c r="A908" s="7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</row>
    <row r="909" spans="1:15" ht="14.25" customHeight="1" x14ac:dyDescent="0.35">
      <c r="A909" s="7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</row>
    <row r="910" spans="1:15" ht="14.25" customHeight="1" x14ac:dyDescent="0.35">
      <c r="A910" s="7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</row>
    <row r="911" spans="1:15" ht="14.25" customHeight="1" x14ac:dyDescent="0.35">
      <c r="A911" s="7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</row>
    <row r="912" spans="1:15" ht="14.25" customHeight="1" x14ac:dyDescent="0.35">
      <c r="A912" s="7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</row>
    <row r="913" spans="1:15" ht="14.25" customHeight="1" x14ac:dyDescent="0.35">
      <c r="A913" s="7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</row>
    <row r="914" spans="1:15" ht="14.25" customHeight="1" x14ac:dyDescent="0.35">
      <c r="A914" s="7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</row>
    <row r="915" spans="1:15" ht="14.25" customHeight="1" x14ac:dyDescent="0.35">
      <c r="A915" s="7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</row>
    <row r="916" spans="1:15" ht="14.25" customHeight="1" x14ac:dyDescent="0.35">
      <c r="A916" s="7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</row>
    <row r="917" spans="1:15" ht="14.25" customHeight="1" x14ac:dyDescent="0.35">
      <c r="A917" s="7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</row>
    <row r="918" spans="1:15" ht="14.25" customHeight="1" x14ac:dyDescent="0.35">
      <c r="A918" s="7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</row>
    <row r="919" spans="1:15" ht="14.25" customHeight="1" x14ac:dyDescent="0.35">
      <c r="A919" s="7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</row>
    <row r="920" spans="1:15" ht="14.25" customHeight="1" x14ac:dyDescent="0.35">
      <c r="A920" s="7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</row>
    <row r="921" spans="1:15" ht="14.25" customHeight="1" x14ac:dyDescent="0.35">
      <c r="A921" s="7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</row>
    <row r="922" spans="1:15" ht="14.25" customHeight="1" x14ac:dyDescent="0.35">
      <c r="A922" s="7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</row>
    <row r="923" spans="1:15" ht="14.25" customHeight="1" x14ac:dyDescent="0.35">
      <c r="A923" s="7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</row>
    <row r="924" spans="1:15" ht="14.25" customHeight="1" x14ac:dyDescent="0.35">
      <c r="A924" s="7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</row>
    <row r="925" spans="1:15" ht="14.25" customHeight="1" x14ac:dyDescent="0.35">
      <c r="A925" s="7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</row>
    <row r="926" spans="1:15" ht="14.25" customHeight="1" x14ac:dyDescent="0.35">
      <c r="A926" s="7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</row>
    <row r="927" spans="1:15" ht="14.25" customHeight="1" x14ac:dyDescent="0.35">
      <c r="A927" s="7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</row>
    <row r="928" spans="1:15" ht="14.25" customHeight="1" x14ac:dyDescent="0.35">
      <c r="A928" s="7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</row>
    <row r="929" spans="1:15" ht="14.25" customHeight="1" x14ac:dyDescent="0.35">
      <c r="A929" s="7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</row>
    <row r="930" spans="1:15" ht="14.25" customHeight="1" x14ac:dyDescent="0.35">
      <c r="A930" s="7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</row>
    <row r="931" spans="1:15" ht="14.25" customHeight="1" x14ac:dyDescent="0.35">
      <c r="A931" s="7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</row>
    <row r="932" spans="1:15" ht="14.25" customHeight="1" x14ac:dyDescent="0.35">
      <c r="A932" s="7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</row>
    <row r="933" spans="1:15" ht="14.25" customHeight="1" x14ac:dyDescent="0.35">
      <c r="A933" s="7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</row>
    <row r="934" spans="1:15" ht="14.25" customHeight="1" x14ac:dyDescent="0.35">
      <c r="A934" s="7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</row>
    <row r="935" spans="1:15" ht="14.25" customHeight="1" x14ac:dyDescent="0.35">
      <c r="A935" s="7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</row>
    <row r="936" spans="1:15" ht="14.25" customHeight="1" x14ac:dyDescent="0.35">
      <c r="A936" s="7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</row>
    <row r="937" spans="1:15" ht="14.25" customHeight="1" x14ac:dyDescent="0.35">
      <c r="A937" s="7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</row>
    <row r="938" spans="1:15" ht="14.25" customHeight="1" x14ac:dyDescent="0.35">
      <c r="A938" s="7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</row>
    <row r="939" spans="1:15" ht="14.25" customHeight="1" x14ac:dyDescent="0.35">
      <c r="A939" s="7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78"/>
    </row>
    <row r="940" spans="1:15" ht="14.25" customHeight="1" x14ac:dyDescent="0.35">
      <c r="A940" s="7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78"/>
    </row>
    <row r="941" spans="1:15" ht="14.25" customHeight="1" x14ac:dyDescent="0.35">
      <c r="A941" s="7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8"/>
      <c r="O941" s="78"/>
    </row>
    <row r="942" spans="1:15" ht="14.25" customHeight="1" x14ac:dyDescent="0.35">
      <c r="A942" s="7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8"/>
      <c r="O942" s="78"/>
    </row>
    <row r="943" spans="1:15" ht="14.25" customHeight="1" x14ac:dyDescent="0.35">
      <c r="A943" s="7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8"/>
      <c r="O943" s="78"/>
    </row>
    <row r="944" spans="1:15" ht="14.25" customHeight="1" x14ac:dyDescent="0.35">
      <c r="A944" s="7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8"/>
      <c r="O944" s="78"/>
    </row>
    <row r="945" spans="1:15" ht="14.25" customHeight="1" x14ac:dyDescent="0.35">
      <c r="A945" s="7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  <c r="O945" s="78"/>
    </row>
    <row r="946" spans="1:15" ht="14.25" customHeight="1" x14ac:dyDescent="0.35">
      <c r="A946" s="7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8"/>
      <c r="O946" s="78"/>
    </row>
    <row r="947" spans="1:15" ht="14.25" customHeight="1" x14ac:dyDescent="0.35">
      <c r="A947" s="7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8"/>
      <c r="O947" s="78"/>
    </row>
    <row r="948" spans="1:15" ht="14.25" customHeight="1" x14ac:dyDescent="0.35">
      <c r="A948" s="7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8"/>
      <c r="O948" s="78"/>
    </row>
    <row r="949" spans="1:15" ht="14.25" customHeight="1" x14ac:dyDescent="0.35">
      <c r="A949" s="7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8"/>
      <c r="O949" s="78"/>
    </row>
    <row r="950" spans="1:15" ht="14.25" customHeight="1" x14ac:dyDescent="0.35">
      <c r="A950" s="7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78"/>
    </row>
    <row r="951" spans="1:15" ht="14.25" customHeight="1" x14ac:dyDescent="0.35">
      <c r="A951" s="7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78"/>
    </row>
    <row r="952" spans="1:15" ht="14.25" customHeight="1" x14ac:dyDescent="0.35">
      <c r="A952" s="7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78"/>
    </row>
    <row r="953" spans="1:15" ht="14.25" customHeight="1" x14ac:dyDescent="0.35">
      <c r="A953" s="7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78"/>
    </row>
    <row r="954" spans="1:15" ht="14.25" customHeight="1" x14ac:dyDescent="0.35">
      <c r="A954" s="7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78"/>
    </row>
    <row r="955" spans="1:15" ht="14.25" customHeight="1" x14ac:dyDescent="0.35">
      <c r="A955" s="7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78"/>
    </row>
    <row r="956" spans="1:15" ht="14.25" customHeight="1" x14ac:dyDescent="0.35">
      <c r="A956" s="7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78"/>
    </row>
    <row r="957" spans="1:15" ht="14.25" customHeight="1" x14ac:dyDescent="0.35">
      <c r="A957" s="7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78"/>
    </row>
    <row r="958" spans="1:15" ht="14.25" customHeight="1" x14ac:dyDescent="0.35">
      <c r="A958" s="7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78"/>
    </row>
    <row r="959" spans="1:15" ht="14.25" customHeight="1" x14ac:dyDescent="0.35">
      <c r="A959" s="7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78"/>
    </row>
    <row r="960" spans="1:15" ht="14.25" customHeight="1" x14ac:dyDescent="0.35">
      <c r="A960" s="7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78"/>
    </row>
    <row r="961" spans="1:15" ht="14.25" customHeight="1" x14ac:dyDescent="0.35">
      <c r="A961" s="7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78"/>
    </row>
    <row r="962" spans="1:15" ht="14.25" customHeight="1" x14ac:dyDescent="0.35">
      <c r="A962" s="7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78"/>
    </row>
    <row r="963" spans="1:15" ht="14.25" customHeight="1" x14ac:dyDescent="0.35">
      <c r="A963" s="7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8"/>
      <c r="O963" s="78"/>
    </row>
    <row r="964" spans="1:15" ht="14.25" customHeight="1" x14ac:dyDescent="0.35">
      <c r="A964" s="7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78"/>
    </row>
    <row r="965" spans="1:15" ht="14.25" customHeight="1" x14ac:dyDescent="0.35">
      <c r="A965" s="7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78"/>
    </row>
    <row r="966" spans="1:15" ht="14.25" customHeight="1" x14ac:dyDescent="0.35">
      <c r="A966" s="7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78"/>
    </row>
    <row r="967" spans="1:15" ht="14.25" customHeight="1" x14ac:dyDescent="0.35">
      <c r="A967" s="7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8"/>
      <c r="O967" s="78"/>
    </row>
    <row r="968" spans="1:15" ht="14.25" customHeight="1" x14ac:dyDescent="0.35">
      <c r="A968" s="7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8"/>
      <c r="O968" s="78"/>
    </row>
    <row r="969" spans="1:15" ht="14.25" customHeight="1" x14ac:dyDescent="0.35">
      <c r="A969" s="7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8"/>
      <c r="O969" s="78"/>
    </row>
    <row r="970" spans="1:15" ht="14.25" customHeight="1" x14ac:dyDescent="0.35">
      <c r="A970" s="7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78"/>
    </row>
    <row r="971" spans="1:15" ht="14.25" customHeight="1" x14ac:dyDescent="0.35">
      <c r="A971" s="7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78"/>
    </row>
    <row r="972" spans="1:15" ht="14.25" customHeight="1" x14ac:dyDescent="0.35">
      <c r="A972" s="7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78"/>
    </row>
    <row r="973" spans="1:15" ht="14.25" customHeight="1" x14ac:dyDescent="0.35">
      <c r="A973" s="7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78"/>
    </row>
    <row r="974" spans="1:15" ht="14.25" customHeight="1" x14ac:dyDescent="0.35">
      <c r="A974" s="7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78"/>
    </row>
    <row r="975" spans="1:15" ht="14.25" customHeight="1" x14ac:dyDescent="0.35">
      <c r="A975" s="7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78"/>
    </row>
    <row r="976" spans="1:15" ht="14.25" customHeight="1" x14ac:dyDescent="0.35">
      <c r="A976" s="7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78"/>
    </row>
    <row r="977" spans="1:15" ht="14.25" customHeight="1" x14ac:dyDescent="0.35">
      <c r="A977" s="7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78"/>
    </row>
    <row r="978" spans="1:15" ht="14.25" customHeight="1" x14ac:dyDescent="0.35">
      <c r="A978" s="7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78"/>
    </row>
    <row r="979" spans="1:15" ht="14.25" customHeight="1" x14ac:dyDescent="0.35">
      <c r="A979" s="7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8"/>
      <c r="O979" s="78"/>
    </row>
    <row r="980" spans="1:15" ht="14.25" customHeight="1" x14ac:dyDescent="0.35">
      <c r="A980" s="7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78"/>
    </row>
    <row r="981" spans="1:15" ht="14.25" customHeight="1" x14ac:dyDescent="0.35">
      <c r="A981" s="7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78"/>
    </row>
    <row r="982" spans="1:15" ht="14.25" customHeight="1" x14ac:dyDescent="0.35">
      <c r="A982" s="7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8"/>
      <c r="O982" s="78"/>
    </row>
    <row r="983" spans="1:15" ht="14.25" customHeight="1" x14ac:dyDescent="0.35">
      <c r="A983" s="7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78"/>
    </row>
    <row r="984" spans="1:15" ht="14.25" customHeight="1" x14ac:dyDescent="0.35">
      <c r="A984" s="7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78"/>
    </row>
    <row r="985" spans="1:15" ht="14.25" customHeight="1" x14ac:dyDescent="0.35">
      <c r="A985" s="7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78"/>
    </row>
    <row r="986" spans="1:15" ht="14.25" customHeight="1" x14ac:dyDescent="0.35">
      <c r="A986" s="7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78"/>
    </row>
    <row r="987" spans="1:15" ht="14.25" customHeight="1" x14ac:dyDescent="0.35">
      <c r="A987" s="7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78"/>
    </row>
    <row r="988" spans="1:15" ht="14.25" customHeight="1" x14ac:dyDescent="0.35">
      <c r="A988" s="7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78"/>
    </row>
    <row r="989" spans="1:15" ht="14.25" customHeight="1" x14ac:dyDescent="0.35">
      <c r="A989" s="7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78"/>
    </row>
    <row r="990" spans="1:15" ht="14.25" customHeight="1" x14ac:dyDescent="0.35">
      <c r="A990" s="7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78"/>
    </row>
    <row r="991" spans="1:15" ht="14.25" customHeight="1" x14ac:dyDescent="0.35">
      <c r="A991" s="7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78"/>
    </row>
    <row r="992" spans="1:15" ht="14.25" customHeight="1" x14ac:dyDescent="0.35">
      <c r="A992" s="7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78"/>
    </row>
    <row r="993" spans="1:15" ht="14.25" customHeight="1" x14ac:dyDescent="0.35">
      <c r="A993" s="7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8"/>
      <c r="O993" s="78"/>
    </row>
    <row r="994" spans="1:15" ht="14.25" customHeight="1" x14ac:dyDescent="0.35">
      <c r="A994" s="7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78"/>
    </row>
    <row r="995" spans="1:15" ht="14.25" customHeight="1" x14ac:dyDescent="0.35">
      <c r="A995" s="7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78"/>
    </row>
    <row r="996" spans="1:15" ht="14.25" customHeight="1" x14ac:dyDescent="0.35">
      <c r="A996" s="7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8"/>
      <c r="O996" s="78"/>
    </row>
    <row r="997" spans="1:15" ht="14.25" customHeight="1" x14ac:dyDescent="0.35">
      <c r="A997" s="7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</row>
    <row r="998" spans="1:15" ht="14.25" customHeight="1" x14ac:dyDescent="0.35">
      <c r="A998" s="7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78"/>
    </row>
    <row r="999" spans="1:15" ht="14.25" customHeight="1" x14ac:dyDescent="0.35">
      <c r="A999" s="7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78"/>
    </row>
    <row r="1000" spans="1:15" ht="14.25" customHeight="1" x14ac:dyDescent="0.35">
      <c r="A1000" s="7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</row>
  </sheetData>
  <pageMargins left="0.7" right="0.7" top="0.75" bottom="0.75" header="0" footer="0"/>
  <pageSetup orientation="portrait"/>
  <colBreaks count="1" manualBreakCount="1">
    <brk id="7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pane xSplit="5" ySplit="20" topLeftCell="M21" activePane="bottomRight" state="frozen"/>
      <selection pane="topRight" activeCell="F1" sqref="F1"/>
      <selection pane="bottomLeft" activeCell="A21" sqref="A21"/>
      <selection pane="bottomRight" activeCell="D41" sqref="D41"/>
    </sheetView>
  </sheetViews>
  <sheetFormatPr defaultColWidth="14.453125" defaultRowHeight="15" customHeight="1" outlineLevelRow="1" x14ac:dyDescent="0.35"/>
  <cols>
    <col min="1" max="1" width="1.453125" customWidth="1"/>
    <col min="2" max="2" width="37.453125" customWidth="1"/>
    <col min="3" max="3" width="28" customWidth="1"/>
    <col min="4" max="4" width="12.54296875" customWidth="1"/>
    <col min="5" max="5" width="16.453125" customWidth="1"/>
    <col min="6" max="6" width="13" customWidth="1"/>
    <col min="7" max="7" width="12.453125" customWidth="1"/>
    <col min="8" max="8" width="13.81640625" customWidth="1"/>
    <col min="9" max="9" width="12.1796875" customWidth="1"/>
    <col min="10" max="11" width="11.81640625" customWidth="1"/>
    <col min="12" max="14" width="11.453125" customWidth="1"/>
    <col min="15" max="15" width="11.54296875" customWidth="1"/>
    <col min="16" max="16" width="15" customWidth="1"/>
    <col min="17" max="17" width="11.54296875" customWidth="1"/>
    <col min="18" max="18" width="2.453125" customWidth="1"/>
    <col min="19" max="19" width="10.1796875" customWidth="1"/>
    <col min="20" max="26" width="9.54296875" style="85" customWidth="1"/>
  </cols>
  <sheetData>
    <row r="1" spans="1:19" ht="150.75" customHeight="1" x14ac:dyDescent="0.3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5"/>
      <c r="S1" s="85"/>
    </row>
    <row r="2" spans="1:19" ht="12.75" customHeight="1" x14ac:dyDescent="0.35">
      <c r="A2" s="8"/>
      <c r="B2" s="200" t="s">
        <v>339</v>
      </c>
      <c r="C2" s="201"/>
      <c r="D2" s="202"/>
      <c r="E2" s="8"/>
      <c r="H2" s="8"/>
      <c r="I2" s="8"/>
      <c r="J2" s="8"/>
      <c r="K2" s="8"/>
      <c r="L2" s="8"/>
      <c r="M2" s="8"/>
      <c r="N2" s="8"/>
      <c r="O2" s="8"/>
      <c r="P2" s="8"/>
      <c r="Q2" s="8"/>
      <c r="R2" s="85"/>
      <c r="S2" s="85"/>
    </row>
    <row r="3" spans="1:19" ht="12.75" customHeight="1" x14ac:dyDescent="0.35">
      <c r="A3" s="8"/>
      <c r="B3" s="203"/>
      <c r="C3" s="204" t="s">
        <v>340</v>
      </c>
      <c r="D3" s="205" t="s">
        <v>341</v>
      </c>
      <c r="E3" s="8"/>
      <c r="H3" s="8"/>
      <c r="I3" s="8"/>
      <c r="J3" s="8"/>
      <c r="K3" s="8"/>
      <c r="L3" s="8"/>
      <c r="M3" s="8"/>
      <c r="N3" s="8"/>
      <c r="O3" s="8"/>
      <c r="P3" s="8"/>
      <c r="Q3" s="8"/>
      <c r="R3" s="85"/>
      <c r="S3" s="85"/>
    </row>
    <row r="4" spans="1:19" ht="12.75" customHeight="1" x14ac:dyDescent="0.35">
      <c r="A4" s="8"/>
      <c r="B4" s="206" t="s">
        <v>253</v>
      </c>
      <c r="C4" s="207" t="e">
        <f t="shared" ref="C4:C5" si="0">C29</f>
        <v>#NUM!</v>
      </c>
      <c r="D4" s="208" t="e">
        <f>C121</f>
        <v>#NUM!</v>
      </c>
      <c r="E4" s="8"/>
      <c r="H4" s="8"/>
      <c r="I4" s="8"/>
      <c r="J4" s="8"/>
      <c r="K4" s="8"/>
      <c r="L4" s="8"/>
      <c r="M4" s="8"/>
      <c r="N4" s="8"/>
      <c r="O4" s="8"/>
      <c r="P4" s="8"/>
      <c r="Q4" s="8"/>
      <c r="R4" s="85"/>
      <c r="S4" s="85"/>
    </row>
    <row r="5" spans="1:19" ht="12.75" customHeight="1" x14ac:dyDescent="0.35">
      <c r="A5" s="8"/>
      <c r="B5" s="209" t="s">
        <v>342</v>
      </c>
      <c r="C5" s="210">
        <f t="shared" si="0"/>
        <v>0</v>
      </c>
      <c r="D5" s="211">
        <f>C124</f>
        <v>0</v>
      </c>
      <c r="E5" s="8"/>
      <c r="H5" s="8"/>
      <c r="I5" s="8"/>
      <c r="J5" s="8"/>
      <c r="K5" s="8"/>
      <c r="L5" s="8"/>
      <c r="M5" s="8"/>
      <c r="N5" s="8"/>
      <c r="O5" s="8"/>
      <c r="P5" s="8"/>
      <c r="Q5" s="8"/>
      <c r="R5" s="85"/>
      <c r="S5" s="85"/>
    </row>
    <row r="6" spans="1:19" ht="9.75" customHeight="1" x14ac:dyDescent="0.3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5"/>
      <c r="S6" s="85"/>
    </row>
    <row r="7" spans="1:19" ht="24.75" customHeight="1" x14ac:dyDescent="0.5">
      <c r="A7" s="85"/>
      <c r="B7" s="212" t="str">
        <f>Inputs!A1</f>
        <v>Hotel Value Add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85"/>
      <c r="S7" s="85"/>
    </row>
    <row r="8" spans="1:19" ht="24.75" customHeight="1" x14ac:dyDescent="0.35">
      <c r="A8" s="85"/>
      <c r="B8" s="214" t="s">
        <v>343</v>
      </c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85"/>
      <c r="S8" s="85"/>
    </row>
    <row r="9" spans="1:19" ht="12.75" hidden="1" customHeight="1" outlineLevel="1" x14ac:dyDescent="0.35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5"/>
      <c r="S9" s="85"/>
    </row>
    <row r="10" spans="1:19" ht="12.75" hidden="1" customHeight="1" outlineLevel="1" x14ac:dyDescent="0.35">
      <c r="A10" s="86"/>
      <c r="B10" s="215"/>
      <c r="C10" s="128"/>
      <c r="D10" s="216"/>
      <c r="E10" s="216"/>
      <c r="F10" s="216"/>
      <c r="G10" s="455" t="s">
        <v>344</v>
      </c>
      <c r="H10" s="456"/>
      <c r="I10" s="86"/>
      <c r="J10" s="86"/>
      <c r="K10" s="86"/>
      <c r="L10" s="86"/>
      <c r="M10" s="86"/>
      <c r="N10" s="86"/>
      <c r="O10" s="86"/>
      <c r="P10" s="86"/>
      <c r="Q10" s="86"/>
      <c r="R10" s="85"/>
      <c r="S10" s="85"/>
    </row>
    <row r="11" spans="1:19" ht="12.75" hidden="1" customHeight="1" outlineLevel="1" x14ac:dyDescent="0.35">
      <c r="A11" s="86"/>
      <c r="B11" s="217"/>
      <c r="C11" s="150"/>
      <c r="D11" s="218"/>
      <c r="E11" s="218"/>
      <c r="F11" s="218"/>
      <c r="G11" s="457" t="s">
        <v>345</v>
      </c>
      <c r="H11" s="458"/>
      <c r="I11" s="86"/>
      <c r="J11" s="86"/>
      <c r="K11" s="86"/>
      <c r="L11" s="86"/>
      <c r="M11" s="86"/>
      <c r="N11" s="86"/>
      <c r="O11" s="86"/>
      <c r="P11" s="86"/>
      <c r="Q11" s="86"/>
      <c r="R11" s="85"/>
      <c r="S11" s="85"/>
    </row>
    <row r="12" spans="1:19" ht="12.75" hidden="1" customHeight="1" outlineLevel="1" x14ac:dyDescent="0.35">
      <c r="A12" s="86"/>
      <c r="B12" s="217" t="s">
        <v>346</v>
      </c>
      <c r="C12" s="150"/>
      <c r="D12" s="218"/>
      <c r="E12" s="218" t="s">
        <v>347</v>
      </c>
      <c r="F12" s="219" t="s">
        <v>348</v>
      </c>
      <c r="G12" s="451" t="s">
        <v>10</v>
      </c>
      <c r="H12" s="220" t="s">
        <v>349</v>
      </c>
      <c r="I12" s="86"/>
      <c r="J12" s="86"/>
      <c r="K12" s="86"/>
      <c r="L12" s="86"/>
      <c r="M12" s="86"/>
      <c r="N12" s="86"/>
      <c r="O12" s="86"/>
      <c r="P12" s="86"/>
      <c r="Q12" s="86"/>
      <c r="R12" s="85"/>
      <c r="S12" s="85"/>
    </row>
    <row r="13" spans="1:19" ht="12.75" hidden="1" customHeight="1" outlineLevel="1" x14ac:dyDescent="0.35">
      <c r="A13" s="86"/>
      <c r="B13" s="221" t="s">
        <v>350</v>
      </c>
      <c r="C13" s="222"/>
      <c r="D13" s="86" t="s">
        <v>351</v>
      </c>
      <c r="E13" s="223">
        <f>Inputs!J9</f>
        <v>0.1</v>
      </c>
      <c r="F13" s="224">
        <v>0</v>
      </c>
      <c r="G13" s="225">
        <f t="shared" ref="G13:G16" si="1">(1-F13)*$C$22</f>
        <v>0.7</v>
      </c>
      <c r="H13" s="226">
        <f t="shared" ref="H13:H16" si="2">1-G13</f>
        <v>0.30000000000000004</v>
      </c>
      <c r="I13" s="86"/>
      <c r="J13" s="86"/>
      <c r="K13" s="86"/>
      <c r="L13" s="86"/>
      <c r="M13" s="86"/>
      <c r="N13" s="86"/>
      <c r="O13" s="86"/>
      <c r="P13" s="86"/>
      <c r="Q13" s="86"/>
      <c r="R13" s="85"/>
      <c r="S13" s="85"/>
    </row>
    <row r="14" spans="1:19" ht="12.75" hidden="1" customHeight="1" outlineLevel="1" x14ac:dyDescent="0.35">
      <c r="A14" s="86"/>
      <c r="B14" s="221" t="s">
        <v>352</v>
      </c>
      <c r="C14" s="222" t="str">
        <f t="shared" ref="C14:C15" si="3">"From a "&amp;TEXT(E13,"#%")</f>
        <v>From a 10%</v>
      </c>
      <c r="D14" s="86" t="s">
        <v>351</v>
      </c>
      <c r="E14" s="223">
        <f>Inputs!J11</f>
        <v>0.15</v>
      </c>
      <c r="F14" s="223">
        <f>Inputs!K11</f>
        <v>0.4</v>
      </c>
      <c r="G14" s="225">
        <f t="shared" si="1"/>
        <v>0.42</v>
      </c>
      <c r="H14" s="226">
        <f t="shared" si="2"/>
        <v>0.58000000000000007</v>
      </c>
      <c r="I14" s="86"/>
      <c r="J14" s="86"/>
      <c r="K14" s="86"/>
      <c r="L14" s="86"/>
      <c r="M14" s="86"/>
      <c r="N14" s="86"/>
      <c r="O14" s="86"/>
      <c r="P14" s="86"/>
      <c r="Q14" s="86"/>
      <c r="R14" s="85"/>
      <c r="S14" s="85"/>
    </row>
    <row r="15" spans="1:19" ht="12.75" hidden="1" customHeight="1" outlineLevel="1" x14ac:dyDescent="0.35">
      <c r="A15" s="86"/>
      <c r="B15" s="221" t="s">
        <v>353</v>
      </c>
      <c r="C15" s="222" t="str">
        <f t="shared" si="3"/>
        <v>From a 15%</v>
      </c>
      <c r="D15" s="86" t="s">
        <v>351</v>
      </c>
      <c r="E15" s="223">
        <f>Inputs!J12</f>
        <v>0.2</v>
      </c>
      <c r="F15" s="223">
        <f>Inputs!K12</f>
        <v>0.5</v>
      </c>
      <c r="G15" s="225">
        <f t="shared" si="1"/>
        <v>0.35</v>
      </c>
      <c r="H15" s="226">
        <f t="shared" si="2"/>
        <v>0.65</v>
      </c>
      <c r="I15" s="86"/>
      <c r="J15" s="86"/>
      <c r="K15" s="86"/>
      <c r="L15" s="86"/>
      <c r="M15" s="86"/>
      <c r="N15" s="86"/>
      <c r="O15" s="86"/>
      <c r="P15" s="86"/>
      <c r="Q15" s="86"/>
      <c r="R15" s="85"/>
      <c r="S15" s="85"/>
    </row>
    <row r="16" spans="1:19" ht="12.75" hidden="1" customHeight="1" outlineLevel="1" x14ac:dyDescent="0.35">
      <c r="A16" s="86"/>
      <c r="B16" s="227" t="s">
        <v>354</v>
      </c>
      <c r="C16" s="228"/>
      <c r="D16" s="228" t="s">
        <v>355</v>
      </c>
      <c r="E16" s="229">
        <f>E15</f>
        <v>0.2</v>
      </c>
      <c r="F16" s="229">
        <f>Inputs!K13</f>
        <v>0.6</v>
      </c>
      <c r="G16" s="230">
        <f t="shared" si="1"/>
        <v>0.27999999999999997</v>
      </c>
      <c r="H16" s="231">
        <f t="shared" si="2"/>
        <v>0.72</v>
      </c>
      <c r="I16" s="86"/>
      <c r="J16" s="86"/>
      <c r="K16" s="86"/>
      <c r="L16" s="86"/>
      <c r="M16" s="86"/>
      <c r="N16" s="86"/>
      <c r="O16" s="86"/>
      <c r="P16" s="86"/>
      <c r="Q16" s="86"/>
      <c r="R16" s="85"/>
      <c r="S16" s="85"/>
    </row>
    <row r="17" spans="1:19" ht="12.75" customHeight="1" collapsed="1" x14ac:dyDescent="0.35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5"/>
      <c r="S17" s="85"/>
    </row>
    <row r="18" spans="1:19" ht="12.75" customHeight="1" x14ac:dyDescent="0.35">
      <c r="A18" s="86"/>
      <c r="B18" s="86"/>
      <c r="C18" s="86"/>
      <c r="D18" s="86"/>
      <c r="E18" s="86"/>
      <c r="F18" s="232">
        <f t="shared" ref="F18:Q18" si="4">ROUNDUP(F19/12,0)</f>
        <v>0</v>
      </c>
      <c r="G18" s="232">
        <f t="shared" si="4"/>
        <v>1</v>
      </c>
      <c r="H18" s="232">
        <f t="shared" si="4"/>
        <v>2</v>
      </c>
      <c r="I18" s="232">
        <f t="shared" si="4"/>
        <v>3</v>
      </c>
      <c r="J18" s="232">
        <f t="shared" si="4"/>
        <v>4</v>
      </c>
      <c r="K18" s="232">
        <f t="shared" si="4"/>
        <v>5</v>
      </c>
      <c r="L18" s="232">
        <f t="shared" si="4"/>
        <v>6</v>
      </c>
      <c r="M18" s="232">
        <f t="shared" si="4"/>
        <v>7</v>
      </c>
      <c r="N18" s="232">
        <f t="shared" si="4"/>
        <v>8</v>
      </c>
      <c r="O18" s="232">
        <f t="shared" si="4"/>
        <v>9</v>
      </c>
      <c r="P18" s="232">
        <f t="shared" si="4"/>
        <v>10</v>
      </c>
      <c r="Q18" s="232">
        <f t="shared" si="4"/>
        <v>11</v>
      </c>
      <c r="R18" s="85"/>
      <c r="S18" s="85"/>
    </row>
    <row r="19" spans="1:19" ht="12.75" customHeight="1" x14ac:dyDescent="0.35">
      <c r="A19" s="85"/>
      <c r="B19" s="233"/>
      <c r="C19" s="234"/>
      <c r="D19" s="234"/>
      <c r="E19" s="234"/>
      <c r="F19" s="235">
        <v>0</v>
      </c>
      <c r="G19" s="235">
        <f t="shared" ref="G19:Q19" si="5">F19+12</f>
        <v>12</v>
      </c>
      <c r="H19" s="235">
        <f t="shared" si="5"/>
        <v>24</v>
      </c>
      <c r="I19" s="235">
        <f t="shared" si="5"/>
        <v>36</v>
      </c>
      <c r="J19" s="235">
        <f t="shared" si="5"/>
        <v>48</v>
      </c>
      <c r="K19" s="235">
        <f t="shared" si="5"/>
        <v>60</v>
      </c>
      <c r="L19" s="235">
        <f t="shared" si="5"/>
        <v>72</v>
      </c>
      <c r="M19" s="235">
        <f t="shared" si="5"/>
        <v>84</v>
      </c>
      <c r="N19" s="235">
        <f t="shared" si="5"/>
        <v>96</v>
      </c>
      <c r="O19" s="235">
        <f t="shared" si="5"/>
        <v>108</v>
      </c>
      <c r="P19" s="235">
        <f t="shared" si="5"/>
        <v>120</v>
      </c>
      <c r="Q19" s="235">
        <f t="shared" si="5"/>
        <v>132</v>
      </c>
      <c r="R19" s="85"/>
      <c r="S19" s="85"/>
    </row>
    <row r="20" spans="1:19" ht="12.75" customHeight="1" x14ac:dyDescent="0.35">
      <c r="A20" s="85"/>
      <c r="B20" s="233" t="s">
        <v>356</v>
      </c>
      <c r="C20" s="234"/>
      <c r="D20" s="234"/>
      <c r="E20" s="234"/>
      <c r="F20" s="236">
        <f>'Annual Cash Flows'!G7</f>
        <v>45488</v>
      </c>
      <c r="G20" s="236">
        <f t="shared" ref="G20:Q20" si="6">EOMONTH(F20,12)</f>
        <v>45869</v>
      </c>
      <c r="H20" s="236">
        <f t="shared" si="6"/>
        <v>46234</v>
      </c>
      <c r="I20" s="236">
        <f t="shared" si="6"/>
        <v>46599</v>
      </c>
      <c r="J20" s="236">
        <f t="shared" si="6"/>
        <v>46965</v>
      </c>
      <c r="K20" s="236">
        <f t="shared" si="6"/>
        <v>47330</v>
      </c>
      <c r="L20" s="236">
        <f t="shared" si="6"/>
        <v>47695</v>
      </c>
      <c r="M20" s="236">
        <f t="shared" si="6"/>
        <v>48060</v>
      </c>
      <c r="N20" s="236">
        <f t="shared" si="6"/>
        <v>48426</v>
      </c>
      <c r="O20" s="236">
        <f t="shared" si="6"/>
        <v>48791</v>
      </c>
      <c r="P20" s="236">
        <f t="shared" si="6"/>
        <v>49156</v>
      </c>
      <c r="Q20" s="236">
        <f t="shared" si="6"/>
        <v>49521</v>
      </c>
      <c r="R20" s="85"/>
      <c r="S20" s="85"/>
    </row>
    <row r="21" spans="1:19" ht="12.75" customHeight="1" x14ac:dyDescent="0.3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5"/>
      <c r="S21" s="85"/>
    </row>
    <row r="22" spans="1:19" ht="12.75" customHeight="1" x14ac:dyDescent="0.35">
      <c r="A22" s="8"/>
      <c r="B22" s="8" t="s">
        <v>357</v>
      </c>
      <c r="C22" s="237">
        <f>Inputs!I6</f>
        <v>0.7</v>
      </c>
      <c r="D22" s="8"/>
      <c r="E22" s="445">
        <f t="shared" ref="E22:E26" si="7">SUM(F22:Q22)</f>
        <v>13391569.114722084</v>
      </c>
      <c r="F22" s="238">
        <f>Inputs!J6</f>
        <v>13391569.114722084</v>
      </c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85"/>
      <c r="S22" s="85"/>
    </row>
    <row r="23" spans="1:19" ht="12.75" customHeight="1" x14ac:dyDescent="0.35">
      <c r="A23" s="85"/>
      <c r="B23" s="150" t="s">
        <v>358</v>
      </c>
      <c r="C23" s="239">
        <f>Inputs!I5</f>
        <v>0.3</v>
      </c>
      <c r="D23" s="150"/>
      <c r="E23" s="446">
        <f t="shared" si="7"/>
        <v>5739243.906309464</v>
      </c>
      <c r="F23" s="238">
        <f>Inputs!J5</f>
        <v>5739243.906309464</v>
      </c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85"/>
      <c r="S23" s="85"/>
    </row>
    <row r="24" spans="1:19" ht="12.75" customHeight="1" x14ac:dyDescent="0.35">
      <c r="A24" s="85"/>
      <c r="B24" s="240" t="s">
        <v>359</v>
      </c>
      <c r="C24" s="241"/>
      <c r="D24" s="240"/>
      <c r="E24" s="242">
        <f t="shared" si="7"/>
        <v>19130813.021031547</v>
      </c>
      <c r="F24" s="242">
        <f t="shared" ref="F24:Q24" si="8">SUM(F22:F23)</f>
        <v>19130813.021031547</v>
      </c>
      <c r="G24" s="242">
        <f t="shared" si="8"/>
        <v>0</v>
      </c>
      <c r="H24" s="242">
        <f t="shared" si="8"/>
        <v>0</v>
      </c>
      <c r="I24" s="242">
        <f t="shared" si="8"/>
        <v>0</v>
      </c>
      <c r="J24" s="242">
        <f t="shared" si="8"/>
        <v>0</v>
      </c>
      <c r="K24" s="242">
        <f t="shared" si="8"/>
        <v>0</v>
      </c>
      <c r="L24" s="242">
        <f t="shared" si="8"/>
        <v>0</v>
      </c>
      <c r="M24" s="242">
        <f t="shared" si="8"/>
        <v>0</v>
      </c>
      <c r="N24" s="242">
        <f t="shared" si="8"/>
        <v>0</v>
      </c>
      <c r="O24" s="242">
        <f t="shared" si="8"/>
        <v>0</v>
      </c>
      <c r="P24" s="242">
        <f t="shared" si="8"/>
        <v>0</v>
      </c>
      <c r="Q24" s="242">
        <f t="shared" si="8"/>
        <v>0</v>
      </c>
      <c r="R24" s="85"/>
      <c r="S24" s="85"/>
    </row>
    <row r="25" spans="1:19" ht="12.75" customHeight="1" x14ac:dyDescent="0.35">
      <c r="A25" s="85"/>
      <c r="B25" s="240" t="s">
        <v>360</v>
      </c>
      <c r="C25" s="240"/>
      <c r="D25" s="240"/>
      <c r="E25" s="242">
        <f t="shared" si="7"/>
        <v>0</v>
      </c>
      <c r="F25" s="242">
        <f t="shared" ref="F25:Q25" si="9">IF(F26&lt;0,0,F26)</f>
        <v>0</v>
      </c>
      <c r="G25" s="242">
        <f t="shared" si="9"/>
        <v>0</v>
      </c>
      <c r="H25" s="242">
        <f t="shared" si="9"/>
        <v>0</v>
      </c>
      <c r="I25" s="242">
        <f t="shared" si="9"/>
        <v>0</v>
      </c>
      <c r="J25" s="242">
        <f t="shared" si="9"/>
        <v>0</v>
      </c>
      <c r="K25" s="242">
        <f t="shared" si="9"/>
        <v>0</v>
      </c>
      <c r="L25" s="242">
        <f t="shared" si="9"/>
        <v>0</v>
      </c>
      <c r="M25" s="242">
        <f t="shared" si="9"/>
        <v>0</v>
      </c>
      <c r="N25" s="242">
        <f t="shared" si="9"/>
        <v>0</v>
      </c>
      <c r="O25" s="242">
        <f t="shared" si="9"/>
        <v>0</v>
      </c>
      <c r="P25" s="242">
        <f t="shared" si="9"/>
        <v>0</v>
      </c>
      <c r="Q25" s="242">
        <f t="shared" si="9"/>
        <v>0</v>
      </c>
      <c r="R25" s="85"/>
      <c r="S25" s="85"/>
    </row>
    <row r="26" spans="1:19" ht="12.75" customHeight="1" x14ac:dyDescent="0.35">
      <c r="A26" s="85"/>
      <c r="B26" s="240" t="s">
        <v>361</v>
      </c>
      <c r="C26" s="240"/>
      <c r="D26" s="240"/>
      <c r="E26" s="242">
        <f t="shared" si="7"/>
        <v>-19130813.021031547</v>
      </c>
      <c r="F26" s="242">
        <f>-F24</f>
        <v>-19130813.021031547</v>
      </c>
      <c r="G26" s="242">
        <f>'Annual Cash Flows'!H114</f>
        <v>0</v>
      </c>
      <c r="H26" s="242">
        <f>'Annual Cash Flows'!I114</f>
        <v>0</v>
      </c>
      <c r="I26" s="242">
        <f>'Annual Cash Flows'!J114</f>
        <v>0</v>
      </c>
      <c r="J26" s="242">
        <f>'Annual Cash Flows'!K114</f>
        <v>0</v>
      </c>
      <c r="K26" s="242">
        <f>'Annual Cash Flows'!L114</f>
        <v>0</v>
      </c>
      <c r="L26" s="242">
        <f>'Annual Cash Flows'!M114</f>
        <v>0</v>
      </c>
      <c r="M26" s="242">
        <f>'Annual Cash Flows'!N114</f>
        <v>0</v>
      </c>
      <c r="N26" s="242">
        <f>'Annual Cash Flows'!O114</f>
        <v>0</v>
      </c>
      <c r="O26" s="242">
        <f>'Annual Cash Flows'!P114</f>
        <v>0</v>
      </c>
      <c r="P26" s="242">
        <f>'Annual Cash Flows'!Q114</f>
        <v>0</v>
      </c>
      <c r="Q26" s="242">
        <f>'Annual Cash Flows'!R114</f>
        <v>0</v>
      </c>
      <c r="R26" s="85"/>
      <c r="S26" s="85"/>
    </row>
    <row r="27" spans="1:19" ht="12.75" customHeight="1" x14ac:dyDescent="0.35">
      <c r="A27" s="85"/>
      <c r="B27" s="17"/>
      <c r="C27" s="17"/>
      <c r="D27" s="17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85"/>
      <c r="S27" s="85"/>
    </row>
    <row r="28" spans="1:19" ht="12.75" customHeight="1" x14ac:dyDescent="0.35">
      <c r="A28" s="85"/>
      <c r="B28" s="17" t="s">
        <v>362</v>
      </c>
      <c r="C28" s="17"/>
      <c r="D28" s="17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85"/>
      <c r="S28" s="85"/>
    </row>
    <row r="29" spans="1:19" ht="12.75" customHeight="1" x14ac:dyDescent="0.35">
      <c r="A29" s="85"/>
      <c r="B29" s="244" t="s">
        <v>5</v>
      </c>
      <c r="C29" s="245" t="e">
        <f>IRR(F26:Q26)</f>
        <v>#NUM!</v>
      </c>
      <c r="D29" s="246"/>
      <c r="E29" s="247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5"/>
      <c r="S29" s="85"/>
    </row>
    <row r="30" spans="1:19" ht="12.75" customHeight="1" x14ac:dyDescent="0.35">
      <c r="A30" s="85"/>
      <c r="B30" s="248" t="s">
        <v>363</v>
      </c>
      <c r="C30" s="249">
        <f>(E24+E26)/E24</f>
        <v>0</v>
      </c>
      <c r="D30" s="8"/>
      <c r="E30" s="30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5"/>
      <c r="S30" s="85"/>
    </row>
    <row r="31" spans="1:19" ht="12.75" customHeight="1" x14ac:dyDescent="0.35">
      <c r="A31" s="85"/>
      <c r="B31" s="8"/>
      <c r="C31" s="8"/>
      <c r="D31" s="8"/>
      <c r="E31" s="30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5"/>
      <c r="S31" s="85"/>
    </row>
    <row r="32" spans="1:19" ht="12.75" hidden="1" customHeight="1" outlineLevel="1" x14ac:dyDescent="0.35">
      <c r="A32" s="85"/>
      <c r="B32" s="8"/>
      <c r="C32" s="8"/>
      <c r="D32" s="8"/>
      <c r="E32" s="8"/>
      <c r="F32" s="232">
        <f t="shared" ref="F32:Q32" si="10">ROUNDUP(F33/12,0)</f>
        <v>0</v>
      </c>
      <c r="G32" s="232">
        <f t="shared" si="10"/>
        <v>1</v>
      </c>
      <c r="H32" s="232">
        <f t="shared" si="10"/>
        <v>2</v>
      </c>
      <c r="I32" s="232">
        <f t="shared" si="10"/>
        <v>3</v>
      </c>
      <c r="J32" s="232">
        <f t="shared" si="10"/>
        <v>4</v>
      </c>
      <c r="K32" s="232">
        <f t="shared" si="10"/>
        <v>5</v>
      </c>
      <c r="L32" s="232">
        <f t="shared" si="10"/>
        <v>6</v>
      </c>
      <c r="M32" s="232">
        <f t="shared" si="10"/>
        <v>7</v>
      </c>
      <c r="N32" s="232">
        <f t="shared" si="10"/>
        <v>8</v>
      </c>
      <c r="O32" s="232">
        <f t="shared" si="10"/>
        <v>9</v>
      </c>
      <c r="P32" s="232">
        <f t="shared" si="10"/>
        <v>10</v>
      </c>
      <c r="Q32" s="232">
        <f t="shared" si="10"/>
        <v>11</v>
      </c>
      <c r="R32" s="85"/>
      <c r="S32" s="85"/>
    </row>
    <row r="33" spans="1:19" ht="12.75" hidden="1" customHeight="1" outlineLevel="1" x14ac:dyDescent="0.35">
      <c r="A33" s="85"/>
      <c r="B33" s="233"/>
      <c r="C33" s="234"/>
      <c r="D33" s="234"/>
      <c r="E33" s="234"/>
      <c r="F33" s="235">
        <f t="shared" ref="F33:Q33" si="11">F19</f>
        <v>0</v>
      </c>
      <c r="G33" s="235">
        <f t="shared" si="11"/>
        <v>12</v>
      </c>
      <c r="H33" s="235">
        <f t="shared" si="11"/>
        <v>24</v>
      </c>
      <c r="I33" s="235">
        <f t="shared" si="11"/>
        <v>36</v>
      </c>
      <c r="J33" s="235">
        <f t="shared" si="11"/>
        <v>48</v>
      </c>
      <c r="K33" s="235">
        <f t="shared" si="11"/>
        <v>60</v>
      </c>
      <c r="L33" s="235">
        <f t="shared" si="11"/>
        <v>72</v>
      </c>
      <c r="M33" s="235">
        <f t="shared" si="11"/>
        <v>84</v>
      </c>
      <c r="N33" s="235">
        <f t="shared" si="11"/>
        <v>96</v>
      </c>
      <c r="O33" s="235">
        <f t="shared" si="11"/>
        <v>108</v>
      </c>
      <c r="P33" s="235">
        <f t="shared" si="11"/>
        <v>120</v>
      </c>
      <c r="Q33" s="235">
        <f t="shared" si="11"/>
        <v>132</v>
      </c>
      <c r="R33" s="85"/>
      <c r="S33" s="85"/>
    </row>
    <row r="34" spans="1:19" ht="12.75" hidden="1" customHeight="1" outlineLevel="1" x14ac:dyDescent="0.35">
      <c r="A34" s="85"/>
      <c r="B34" s="233" t="s">
        <v>364</v>
      </c>
      <c r="C34" s="234"/>
      <c r="D34" s="234"/>
      <c r="E34" s="234"/>
      <c r="F34" s="236">
        <f t="shared" ref="F34:Q34" si="12">F20</f>
        <v>45488</v>
      </c>
      <c r="G34" s="236">
        <f t="shared" si="12"/>
        <v>45869</v>
      </c>
      <c r="H34" s="236">
        <f t="shared" si="12"/>
        <v>46234</v>
      </c>
      <c r="I34" s="236">
        <f t="shared" si="12"/>
        <v>46599</v>
      </c>
      <c r="J34" s="236">
        <f t="shared" si="12"/>
        <v>46965</v>
      </c>
      <c r="K34" s="236">
        <f t="shared" si="12"/>
        <v>47330</v>
      </c>
      <c r="L34" s="236">
        <f t="shared" si="12"/>
        <v>47695</v>
      </c>
      <c r="M34" s="236">
        <f t="shared" si="12"/>
        <v>48060</v>
      </c>
      <c r="N34" s="236">
        <f t="shared" si="12"/>
        <v>48426</v>
      </c>
      <c r="O34" s="236">
        <f t="shared" si="12"/>
        <v>48791</v>
      </c>
      <c r="P34" s="236">
        <f t="shared" si="12"/>
        <v>49156</v>
      </c>
      <c r="Q34" s="236">
        <f t="shared" si="12"/>
        <v>49521</v>
      </c>
      <c r="R34" s="85"/>
      <c r="S34" s="85"/>
    </row>
    <row r="35" spans="1:19" ht="12.75" customHeight="1" collapsed="1" x14ac:dyDescent="0.35">
      <c r="A35" s="85"/>
      <c r="B35" s="250" t="s">
        <v>364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5"/>
      <c r="S35" s="85"/>
    </row>
    <row r="36" spans="1:19" ht="12.75" customHeight="1" x14ac:dyDescent="0.35">
      <c r="A36" s="8"/>
      <c r="B36" s="251" t="s">
        <v>350</v>
      </c>
      <c r="C36" s="252" t="s">
        <v>347</v>
      </c>
      <c r="D36" s="253" t="s">
        <v>365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5"/>
      <c r="S36" s="85"/>
    </row>
    <row r="37" spans="1:19" ht="12.75" customHeight="1" x14ac:dyDescent="0.35">
      <c r="A37" s="8"/>
      <c r="B37" s="254" t="s">
        <v>258</v>
      </c>
      <c r="C37" s="237">
        <f>E13</f>
        <v>0.1</v>
      </c>
      <c r="D37" s="255">
        <f>G13</f>
        <v>0.7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5"/>
      <c r="S37" s="85"/>
    </row>
    <row r="38" spans="1:19" ht="12.75" customHeight="1" x14ac:dyDescent="0.35">
      <c r="A38" s="8"/>
      <c r="B38" s="256" t="s">
        <v>366</v>
      </c>
      <c r="C38" s="150"/>
      <c r="D38" s="257">
        <f>H13</f>
        <v>0.30000000000000004</v>
      </c>
      <c r="E38" s="8"/>
      <c r="F38" s="25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5"/>
      <c r="S38" s="85"/>
    </row>
    <row r="39" spans="1:19" ht="12.75" customHeight="1" x14ac:dyDescent="0.35">
      <c r="A39" s="8"/>
      <c r="B39" s="8"/>
      <c r="C39" s="8"/>
      <c r="D39" s="237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5"/>
      <c r="S39" s="85"/>
    </row>
    <row r="40" spans="1:19" ht="12.75" customHeight="1" x14ac:dyDescent="0.35">
      <c r="A40" s="8"/>
      <c r="B40" s="8" t="s">
        <v>367</v>
      </c>
      <c r="C40" s="8"/>
      <c r="D40" s="8"/>
      <c r="E40" s="258"/>
      <c r="F40" s="238">
        <v>0</v>
      </c>
      <c r="G40" s="238">
        <f t="shared" ref="G40:Q40" si="13">F44</f>
        <v>13391569.114722084</v>
      </c>
      <c r="H40" s="238">
        <f t="shared" si="13"/>
        <v>14730726.026194293</v>
      </c>
      <c r="I40" s="238">
        <f t="shared" si="13"/>
        <v>16203798.628813723</v>
      </c>
      <c r="J40" s="238">
        <f t="shared" si="13"/>
        <v>17824178.491695095</v>
      </c>
      <c r="K40" s="238">
        <f t="shared" si="13"/>
        <v>19606596.340864606</v>
      </c>
      <c r="L40" s="238">
        <f t="shared" si="13"/>
        <v>21567255.974951066</v>
      </c>
      <c r="M40" s="238">
        <f t="shared" si="13"/>
        <v>23723981.572446171</v>
      </c>
      <c r="N40" s="238">
        <f t="shared" si="13"/>
        <v>26096379.72969079</v>
      </c>
      <c r="O40" s="238">
        <f t="shared" si="13"/>
        <v>28706017.702659868</v>
      </c>
      <c r="P40" s="238">
        <f t="shared" si="13"/>
        <v>31576619.472925857</v>
      </c>
      <c r="Q40" s="238">
        <f t="shared" si="13"/>
        <v>34734281.420218445</v>
      </c>
      <c r="R40" s="85"/>
      <c r="S40" s="85"/>
    </row>
    <row r="41" spans="1:19" ht="12.75" customHeight="1" x14ac:dyDescent="0.35">
      <c r="A41" s="8"/>
      <c r="B41" s="8" t="s">
        <v>368</v>
      </c>
      <c r="C41" s="8"/>
      <c r="D41" s="447">
        <f t="shared" ref="D41:D43" si="14">SUM(F41:Q41)</f>
        <v>13391569.114722084</v>
      </c>
      <c r="E41" s="8"/>
      <c r="F41" s="238">
        <f t="shared" ref="F41:Q41" si="15">F22</f>
        <v>13391569.114722084</v>
      </c>
      <c r="G41" s="238">
        <f t="shared" si="15"/>
        <v>0</v>
      </c>
      <c r="H41" s="238">
        <f t="shared" si="15"/>
        <v>0</v>
      </c>
      <c r="I41" s="238">
        <f t="shared" si="15"/>
        <v>0</v>
      </c>
      <c r="J41" s="238">
        <f t="shared" si="15"/>
        <v>0</v>
      </c>
      <c r="K41" s="238">
        <f t="shared" si="15"/>
        <v>0</v>
      </c>
      <c r="L41" s="238">
        <f t="shared" si="15"/>
        <v>0</v>
      </c>
      <c r="M41" s="238">
        <f t="shared" si="15"/>
        <v>0</v>
      </c>
      <c r="N41" s="238">
        <f t="shared" si="15"/>
        <v>0</v>
      </c>
      <c r="O41" s="238">
        <f t="shared" si="15"/>
        <v>0</v>
      </c>
      <c r="P41" s="238">
        <f t="shared" si="15"/>
        <v>0</v>
      </c>
      <c r="Q41" s="238">
        <f t="shared" si="15"/>
        <v>0</v>
      </c>
      <c r="R41" s="85"/>
      <c r="S41" s="85"/>
    </row>
    <row r="42" spans="1:19" ht="12.75" customHeight="1" x14ac:dyDescent="0.35">
      <c r="A42" s="8"/>
      <c r="B42" s="8" t="s">
        <v>369</v>
      </c>
      <c r="C42" s="8"/>
      <c r="D42" s="447">
        <f t="shared" si="14"/>
        <v>24816140.4475182</v>
      </c>
      <c r="E42" s="8"/>
      <c r="F42" s="238">
        <f t="shared" ref="F42:Q42" si="16">+F40*$C$37</f>
        <v>0</v>
      </c>
      <c r="G42" s="238">
        <f t="shared" si="16"/>
        <v>1339156.9114722086</v>
      </c>
      <c r="H42" s="238">
        <f t="shared" si="16"/>
        <v>1473072.6026194294</v>
      </c>
      <c r="I42" s="238">
        <f t="shared" si="16"/>
        <v>1620379.8628813724</v>
      </c>
      <c r="J42" s="238">
        <f t="shared" si="16"/>
        <v>1782417.8491695095</v>
      </c>
      <c r="K42" s="238">
        <f t="shared" si="16"/>
        <v>1960659.6340864608</v>
      </c>
      <c r="L42" s="238">
        <f t="shared" si="16"/>
        <v>2156725.5974951065</v>
      </c>
      <c r="M42" s="238">
        <f t="shared" si="16"/>
        <v>2372398.1572446171</v>
      </c>
      <c r="N42" s="238">
        <f t="shared" si="16"/>
        <v>2609637.9729690794</v>
      </c>
      <c r="O42" s="238">
        <f t="shared" si="16"/>
        <v>2870601.7702659871</v>
      </c>
      <c r="P42" s="238">
        <f t="shared" si="16"/>
        <v>3157661.9472925859</v>
      </c>
      <c r="Q42" s="238">
        <f t="shared" si="16"/>
        <v>3473428.1420218446</v>
      </c>
      <c r="R42" s="85"/>
      <c r="S42" s="85"/>
    </row>
    <row r="43" spans="1:19" ht="12.75" customHeight="1" x14ac:dyDescent="0.35">
      <c r="A43" s="150"/>
      <c r="B43" s="150" t="s">
        <v>370</v>
      </c>
      <c r="C43" s="150"/>
      <c r="D43" s="259">
        <f t="shared" si="14"/>
        <v>0</v>
      </c>
      <c r="E43" s="150"/>
      <c r="F43" s="260">
        <f t="shared" ref="F43:Q43" si="17">MIN(0,MAX(-(F40+F41+F42),-$D$37*F26))</f>
        <v>0</v>
      </c>
      <c r="G43" s="260">
        <f t="shared" si="17"/>
        <v>0</v>
      </c>
      <c r="H43" s="260">
        <f t="shared" si="17"/>
        <v>0</v>
      </c>
      <c r="I43" s="260">
        <f t="shared" si="17"/>
        <v>0</v>
      </c>
      <c r="J43" s="260">
        <f t="shared" si="17"/>
        <v>0</v>
      </c>
      <c r="K43" s="260">
        <f t="shared" si="17"/>
        <v>0</v>
      </c>
      <c r="L43" s="260">
        <f t="shared" si="17"/>
        <v>0</v>
      </c>
      <c r="M43" s="260">
        <f t="shared" si="17"/>
        <v>0</v>
      </c>
      <c r="N43" s="260">
        <f t="shared" si="17"/>
        <v>0</v>
      </c>
      <c r="O43" s="260">
        <f t="shared" si="17"/>
        <v>0</v>
      </c>
      <c r="P43" s="260">
        <f t="shared" si="17"/>
        <v>0</v>
      </c>
      <c r="Q43" s="260">
        <f t="shared" si="17"/>
        <v>0</v>
      </c>
      <c r="R43" s="85"/>
      <c r="S43" s="85"/>
    </row>
    <row r="44" spans="1:19" ht="12.75" customHeight="1" x14ac:dyDescent="0.35">
      <c r="A44" s="8"/>
      <c r="B44" s="8" t="s">
        <v>371</v>
      </c>
      <c r="C44" s="8"/>
      <c r="D44" s="261">
        <f>SUM(D41:D43)</f>
        <v>38207709.562240288</v>
      </c>
      <c r="E44" s="8"/>
      <c r="F44" s="238">
        <f t="shared" ref="F44:Q44" si="18">SUM(F40:F43)</f>
        <v>13391569.114722084</v>
      </c>
      <c r="G44" s="238">
        <f t="shared" si="18"/>
        <v>14730726.026194293</v>
      </c>
      <c r="H44" s="238">
        <f t="shared" si="18"/>
        <v>16203798.628813723</v>
      </c>
      <c r="I44" s="238">
        <f t="shared" si="18"/>
        <v>17824178.491695095</v>
      </c>
      <c r="J44" s="238">
        <f t="shared" si="18"/>
        <v>19606596.340864606</v>
      </c>
      <c r="K44" s="238">
        <f t="shared" si="18"/>
        <v>21567255.974951066</v>
      </c>
      <c r="L44" s="238">
        <f t="shared" si="18"/>
        <v>23723981.572446171</v>
      </c>
      <c r="M44" s="238">
        <f t="shared" si="18"/>
        <v>26096379.72969079</v>
      </c>
      <c r="N44" s="238">
        <f t="shared" si="18"/>
        <v>28706017.702659868</v>
      </c>
      <c r="O44" s="238">
        <f t="shared" si="18"/>
        <v>31576619.472925857</v>
      </c>
      <c r="P44" s="238">
        <f t="shared" si="18"/>
        <v>34734281.420218445</v>
      </c>
      <c r="Q44" s="238">
        <f t="shared" si="18"/>
        <v>38207709.562240288</v>
      </c>
      <c r="R44" s="85"/>
      <c r="S44" s="85"/>
    </row>
    <row r="45" spans="1:19" ht="12.75" customHeight="1" x14ac:dyDescent="0.35">
      <c r="A45" s="8"/>
      <c r="B45" s="8"/>
      <c r="C45" s="8"/>
      <c r="D45" s="8"/>
      <c r="E45" s="238"/>
      <c r="F45" s="238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85"/>
      <c r="S45" s="85"/>
    </row>
    <row r="46" spans="1:19" ht="12.75" customHeight="1" x14ac:dyDescent="0.35">
      <c r="A46" s="8"/>
      <c r="B46" s="8" t="s">
        <v>372</v>
      </c>
      <c r="C46" s="8"/>
      <c r="D46" s="8"/>
      <c r="E46" s="238">
        <f>SUM(F46:Q46)</f>
        <v>5739243.906309464</v>
      </c>
      <c r="F46" s="238">
        <f t="shared" ref="F46:Q46" si="19">F23</f>
        <v>5739243.906309464</v>
      </c>
      <c r="G46" s="238">
        <f t="shared" si="19"/>
        <v>0</v>
      </c>
      <c r="H46" s="238">
        <f t="shared" si="19"/>
        <v>0</v>
      </c>
      <c r="I46" s="238">
        <f t="shared" si="19"/>
        <v>0</v>
      </c>
      <c r="J46" s="238">
        <f t="shared" si="19"/>
        <v>0</v>
      </c>
      <c r="K46" s="238">
        <f t="shared" si="19"/>
        <v>0</v>
      </c>
      <c r="L46" s="238">
        <f t="shared" si="19"/>
        <v>0</v>
      </c>
      <c r="M46" s="238">
        <f t="shared" si="19"/>
        <v>0</v>
      </c>
      <c r="N46" s="238">
        <f t="shared" si="19"/>
        <v>0</v>
      </c>
      <c r="O46" s="238">
        <f t="shared" si="19"/>
        <v>0</v>
      </c>
      <c r="P46" s="238">
        <f t="shared" si="19"/>
        <v>0</v>
      </c>
      <c r="Q46" s="238">
        <f t="shared" si="19"/>
        <v>0</v>
      </c>
      <c r="R46" s="85"/>
      <c r="S46" s="85"/>
    </row>
    <row r="47" spans="1:19" ht="12.75" customHeight="1" x14ac:dyDescent="0.35">
      <c r="A47" s="8"/>
      <c r="B47" s="8"/>
      <c r="C47" s="8"/>
      <c r="D47" s="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85"/>
      <c r="S47" s="85"/>
    </row>
    <row r="48" spans="1:19" ht="12.75" customHeight="1" x14ac:dyDescent="0.35">
      <c r="A48" s="85"/>
      <c r="B48" s="262" t="s">
        <v>373</v>
      </c>
      <c r="C48" s="263">
        <f>D37</f>
        <v>0.7</v>
      </c>
      <c r="D48" s="264"/>
      <c r="E48" s="265">
        <f t="shared" ref="E48:E50" si="20">SUM(F48:Q48)</f>
        <v>-13391569.114722084</v>
      </c>
      <c r="F48" s="265">
        <f t="shared" ref="F48:Q48" si="21">+MIN(-(F41+F43),F40+F42)</f>
        <v>-13391569.114722084</v>
      </c>
      <c r="G48" s="265">
        <f t="shared" si="21"/>
        <v>0</v>
      </c>
      <c r="H48" s="265">
        <f t="shared" si="21"/>
        <v>0</v>
      </c>
      <c r="I48" s="265">
        <f t="shared" si="21"/>
        <v>0</v>
      </c>
      <c r="J48" s="265">
        <f t="shared" si="21"/>
        <v>0</v>
      </c>
      <c r="K48" s="265">
        <f t="shared" si="21"/>
        <v>0</v>
      </c>
      <c r="L48" s="265">
        <f t="shared" si="21"/>
        <v>0</v>
      </c>
      <c r="M48" s="265">
        <f t="shared" si="21"/>
        <v>0</v>
      </c>
      <c r="N48" s="265">
        <f t="shared" si="21"/>
        <v>0</v>
      </c>
      <c r="O48" s="265">
        <f t="shared" si="21"/>
        <v>0</v>
      </c>
      <c r="P48" s="265">
        <f t="shared" si="21"/>
        <v>0</v>
      </c>
      <c r="Q48" s="265">
        <f t="shared" si="21"/>
        <v>0</v>
      </c>
      <c r="R48" s="85"/>
      <c r="S48" s="85"/>
    </row>
    <row r="49" spans="1:19" ht="12.75" customHeight="1" x14ac:dyDescent="0.35">
      <c r="A49" s="85"/>
      <c r="B49" s="266" t="s">
        <v>374</v>
      </c>
      <c r="C49" s="267">
        <f>D38-C50</f>
        <v>0.30000000000000004</v>
      </c>
      <c r="D49" s="266"/>
      <c r="E49" s="268">
        <f t="shared" si="20"/>
        <v>-5739243.906309464</v>
      </c>
      <c r="F49" s="268">
        <f t="shared" ref="F49:Q49" si="22">(-F43/$C$48*$C$49)-F46</f>
        <v>-5739243.906309464</v>
      </c>
      <c r="G49" s="268">
        <f t="shared" si="22"/>
        <v>0</v>
      </c>
      <c r="H49" s="268">
        <f t="shared" si="22"/>
        <v>0</v>
      </c>
      <c r="I49" s="268">
        <f t="shared" si="22"/>
        <v>0</v>
      </c>
      <c r="J49" s="268">
        <f t="shared" si="22"/>
        <v>0</v>
      </c>
      <c r="K49" s="268">
        <f t="shared" si="22"/>
        <v>0</v>
      </c>
      <c r="L49" s="268">
        <f t="shared" si="22"/>
        <v>0</v>
      </c>
      <c r="M49" s="268">
        <f t="shared" si="22"/>
        <v>0</v>
      </c>
      <c r="N49" s="268">
        <f t="shared" si="22"/>
        <v>0</v>
      </c>
      <c r="O49" s="268">
        <f t="shared" si="22"/>
        <v>0</v>
      </c>
      <c r="P49" s="268">
        <f t="shared" si="22"/>
        <v>0</v>
      </c>
      <c r="Q49" s="268">
        <f t="shared" si="22"/>
        <v>0</v>
      </c>
      <c r="R49" s="85"/>
      <c r="S49" s="85"/>
    </row>
    <row r="50" spans="1:19" ht="12.75" customHeight="1" x14ac:dyDescent="0.35">
      <c r="A50" s="85"/>
      <c r="B50" s="269" t="s">
        <v>375</v>
      </c>
      <c r="C50" s="270">
        <f>F13</f>
        <v>0</v>
      </c>
      <c r="D50" s="269"/>
      <c r="E50" s="271">
        <f t="shared" si="20"/>
        <v>0</v>
      </c>
      <c r="F50" s="271">
        <f t="shared" ref="F50:Q50" si="23">-F43/$C$48*$C$50</f>
        <v>0</v>
      </c>
      <c r="G50" s="271">
        <f t="shared" si="23"/>
        <v>0</v>
      </c>
      <c r="H50" s="271">
        <f t="shared" si="23"/>
        <v>0</v>
      </c>
      <c r="I50" s="271">
        <f t="shared" si="23"/>
        <v>0</v>
      </c>
      <c r="J50" s="271">
        <f t="shared" si="23"/>
        <v>0</v>
      </c>
      <c r="K50" s="271">
        <f t="shared" si="23"/>
        <v>0</v>
      </c>
      <c r="L50" s="271">
        <f t="shared" si="23"/>
        <v>0</v>
      </c>
      <c r="M50" s="271">
        <f t="shared" si="23"/>
        <v>0</v>
      </c>
      <c r="N50" s="271">
        <f t="shared" si="23"/>
        <v>0</v>
      </c>
      <c r="O50" s="271">
        <f t="shared" si="23"/>
        <v>0</v>
      </c>
      <c r="P50" s="271">
        <f t="shared" si="23"/>
        <v>0</v>
      </c>
      <c r="Q50" s="271">
        <f t="shared" si="23"/>
        <v>0</v>
      </c>
      <c r="R50" s="85"/>
      <c r="S50" s="85"/>
    </row>
    <row r="51" spans="1:19" ht="12.75" customHeight="1" x14ac:dyDescent="0.35">
      <c r="A51" s="85"/>
      <c r="B51" s="8"/>
      <c r="C51" s="8"/>
      <c r="D51" s="8"/>
      <c r="E51" s="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85"/>
      <c r="S51" s="85"/>
    </row>
    <row r="52" spans="1:19" ht="12.75" customHeight="1" x14ac:dyDescent="0.35">
      <c r="A52" s="85"/>
      <c r="B52" s="272" t="s">
        <v>376</v>
      </c>
      <c r="C52" s="272"/>
      <c r="D52" s="272"/>
      <c r="E52" s="273">
        <f>SUM(F52:Q52)</f>
        <v>0</v>
      </c>
      <c r="F52" s="273">
        <f t="shared" ref="F52:Q52" si="24">IF(F48&lt;0,0,F25-SUM(F48:F50))</f>
        <v>0</v>
      </c>
      <c r="G52" s="273">
        <f t="shared" si="24"/>
        <v>0</v>
      </c>
      <c r="H52" s="273">
        <f t="shared" si="24"/>
        <v>0</v>
      </c>
      <c r="I52" s="273">
        <f t="shared" si="24"/>
        <v>0</v>
      </c>
      <c r="J52" s="273">
        <f t="shared" si="24"/>
        <v>0</v>
      </c>
      <c r="K52" s="273">
        <f t="shared" si="24"/>
        <v>0</v>
      </c>
      <c r="L52" s="273">
        <f t="shared" si="24"/>
        <v>0</v>
      </c>
      <c r="M52" s="273">
        <f t="shared" si="24"/>
        <v>0</v>
      </c>
      <c r="N52" s="273">
        <f t="shared" si="24"/>
        <v>0</v>
      </c>
      <c r="O52" s="273">
        <f t="shared" si="24"/>
        <v>0</v>
      </c>
      <c r="P52" s="273">
        <f t="shared" si="24"/>
        <v>0</v>
      </c>
      <c r="Q52" s="273">
        <f t="shared" si="24"/>
        <v>0</v>
      </c>
      <c r="R52" s="85"/>
      <c r="S52" s="85"/>
    </row>
    <row r="53" spans="1:19" ht="12.75" customHeight="1" x14ac:dyDescent="0.35">
      <c r="A53" s="85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5"/>
      <c r="S53" s="85"/>
    </row>
    <row r="54" spans="1:19" ht="12.75" hidden="1" customHeight="1" outlineLevel="1" x14ac:dyDescent="0.35">
      <c r="A54" s="85"/>
      <c r="B54" s="8"/>
      <c r="C54" s="8"/>
      <c r="D54" s="8"/>
      <c r="E54" s="8"/>
      <c r="F54" s="232">
        <f t="shared" ref="F54:Q54" si="25">ROUNDUP(F55/12,0)</f>
        <v>0</v>
      </c>
      <c r="G54" s="232">
        <f t="shared" si="25"/>
        <v>1</v>
      </c>
      <c r="H54" s="232">
        <f t="shared" si="25"/>
        <v>2</v>
      </c>
      <c r="I54" s="232">
        <f t="shared" si="25"/>
        <v>3</v>
      </c>
      <c r="J54" s="232">
        <f t="shared" si="25"/>
        <v>4</v>
      </c>
      <c r="K54" s="232">
        <f t="shared" si="25"/>
        <v>5</v>
      </c>
      <c r="L54" s="232">
        <f t="shared" si="25"/>
        <v>6</v>
      </c>
      <c r="M54" s="232">
        <f t="shared" si="25"/>
        <v>7</v>
      </c>
      <c r="N54" s="232">
        <f t="shared" si="25"/>
        <v>8</v>
      </c>
      <c r="O54" s="232">
        <f t="shared" si="25"/>
        <v>9</v>
      </c>
      <c r="P54" s="232">
        <f t="shared" si="25"/>
        <v>10</v>
      </c>
      <c r="Q54" s="232">
        <f t="shared" si="25"/>
        <v>11</v>
      </c>
      <c r="R54" s="85"/>
      <c r="S54" s="85"/>
    </row>
    <row r="55" spans="1:19" ht="12.75" hidden="1" customHeight="1" outlineLevel="1" x14ac:dyDescent="0.35">
      <c r="A55" s="85"/>
      <c r="B55" s="233"/>
      <c r="C55" s="234"/>
      <c r="D55" s="234"/>
      <c r="E55" s="234"/>
      <c r="F55" s="235">
        <f t="shared" ref="F55:Q55" si="26">F19</f>
        <v>0</v>
      </c>
      <c r="G55" s="235">
        <f t="shared" si="26"/>
        <v>12</v>
      </c>
      <c r="H55" s="235">
        <f t="shared" si="26"/>
        <v>24</v>
      </c>
      <c r="I55" s="235">
        <f t="shared" si="26"/>
        <v>36</v>
      </c>
      <c r="J55" s="235">
        <f t="shared" si="26"/>
        <v>48</v>
      </c>
      <c r="K55" s="235">
        <f t="shared" si="26"/>
        <v>60</v>
      </c>
      <c r="L55" s="235">
        <f t="shared" si="26"/>
        <v>72</v>
      </c>
      <c r="M55" s="235">
        <f t="shared" si="26"/>
        <v>84</v>
      </c>
      <c r="N55" s="235">
        <f t="shared" si="26"/>
        <v>96</v>
      </c>
      <c r="O55" s="235">
        <f t="shared" si="26"/>
        <v>108</v>
      </c>
      <c r="P55" s="235">
        <f t="shared" si="26"/>
        <v>120</v>
      </c>
      <c r="Q55" s="235">
        <f t="shared" si="26"/>
        <v>132</v>
      </c>
      <c r="R55" s="85"/>
      <c r="S55" s="85"/>
    </row>
    <row r="56" spans="1:19" ht="12.75" hidden="1" customHeight="1" outlineLevel="1" x14ac:dyDescent="0.35">
      <c r="A56" s="85"/>
      <c r="B56" s="233" t="s">
        <v>377</v>
      </c>
      <c r="C56" s="234"/>
      <c r="D56" s="234"/>
      <c r="E56" s="234"/>
      <c r="F56" s="236">
        <f t="shared" ref="F56:Q56" si="27">F20</f>
        <v>45488</v>
      </c>
      <c r="G56" s="236">
        <f t="shared" si="27"/>
        <v>45869</v>
      </c>
      <c r="H56" s="236">
        <f t="shared" si="27"/>
        <v>46234</v>
      </c>
      <c r="I56" s="236">
        <f t="shared" si="27"/>
        <v>46599</v>
      </c>
      <c r="J56" s="236">
        <f t="shared" si="27"/>
        <v>46965</v>
      </c>
      <c r="K56" s="236">
        <f t="shared" si="27"/>
        <v>47330</v>
      </c>
      <c r="L56" s="236">
        <f t="shared" si="27"/>
        <v>47695</v>
      </c>
      <c r="M56" s="236">
        <f t="shared" si="27"/>
        <v>48060</v>
      </c>
      <c r="N56" s="236">
        <f t="shared" si="27"/>
        <v>48426</v>
      </c>
      <c r="O56" s="236">
        <f t="shared" si="27"/>
        <v>48791</v>
      </c>
      <c r="P56" s="236">
        <f t="shared" si="27"/>
        <v>49156</v>
      </c>
      <c r="Q56" s="236">
        <f t="shared" si="27"/>
        <v>49521</v>
      </c>
      <c r="R56" s="85"/>
      <c r="S56" s="85"/>
    </row>
    <row r="57" spans="1:19" ht="12.75" customHeight="1" collapsed="1" x14ac:dyDescent="0.35">
      <c r="A57" s="85"/>
      <c r="B57" s="250" t="s">
        <v>377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5"/>
      <c r="S57" s="85"/>
    </row>
    <row r="58" spans="1:19" ht="12.75" customHeight="1" x14ac:dyDescent="0.35">
      <c r="A58" s="85"/>
      <c r="B58" s="251" t="s">
        <v>352</v>
      </c>
      <c r="C58" s="252" t="s">
        <v>347</v>
      </c>
      <c r="D58" s="253" t="s">
        <v>378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5"/>
      <c r="S58" s="85"/>
    </row>
    <row r="59" spans="1:19" ht="12.75" customHeight="1" x14ac:dyDescent="0.35">
      <c r="A59" s="8"/>
      <c r="B59" s="254" t="s">
        <v>258</v>
      </c>
      <c r="C59" s="237">
        <f>E14</f>
        <v>0.15</v>
      </c>
      <c r="D59" s="255">
        <f>G14</f>
        <v>0.42</v>
      </c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5"/>
      <c r="S59" s="85"/>
    </row>
    <row r="60" spans="1:19" ht="12.75" customHeight="1" x14ac:dyDescent="0.35">
      <c r="A60" s="8"/>
      <c r="B60" s="256" t="s">
        <v>366</v>
      </c>
      <c r="C60" s="274"/>
      <c r="D60" s="257">
        <f>H14</f>
        <v>0.58000000000000007</v>
      </c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5"/>
      <c r="S60" s="85"/>
    </row>
    <row r="61" spans="1:19" ht="12.75" customHeight="1" x14ac:dyDescent="0.3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5"/>
      <c r="S61" s="85"/>
    </row>
    <row r="62" spans="1:19" ht="12.75" customHeight="1" x14ac:dyDescent="0.35">
      <c r="A62" s="8"/>
      <c r="B62" s="8" t="s">
        <v>367</v>
      </c>
      <c r="C62" s="8"/>
      <c r="D62" s="258"/>
      <c r="E62" s="8"/>
      <c r="F62" s="238">
        <v>0</v>
      </c>
      <c r="G62" s="238">
        <f t="shared" ref="G62:Q62" si="28">F67</f>
        <v>13391569.114722084</v>
      </c>
      <c r="H62" s="238">
        <f t="shared" si="28"/>
        <v>15400304.481930397</v>
      </c>
      <c r="I62" s="238">
        <f t="shared" si="28"/>
        <v>17710350.154219955</v>
      </c>
      <c r="J62" s="238">
        <f t="shared" si="28"/>
        <v>20366902.67735295</v>
      </c>
      <c r="K62" s="238">
        <f t="shared" si="28"/>
        <v>23421938.078955892</v>
      </c>
      <c r="L62" s="238">
        <f t="shared" si="28"/>
        <v>26935228.790799275</v>
      </c>
      <c r="M62" s="238">
        <f t="shared" si="28"/>
        <v>30975513.109419167</v>
      </c>
      <c r="N62" s="238">
        <f t="shared" si="28"/>
        <v>35621840.075832039</v>
      </c>
      <c r="O62" s="238">
        <f t="shared" si="28"/>
        <v>40965116.087206848</v>
      </c>
      <c r="P62" s="238">
        <f t="shared" si="28"/>
        <v>47109883.500287876</v>
      </c>
      <c r="Q62" s="238">
        <f t="shared" si="28"/>
        <v>54176366.025331058</v>
      </c>
      <c r="R62" s="85"/>
      <c r="S62" s="85"/>
    </row>
    <row r="63" spans="1:19" ht="12.75" customHeight="1" x14ac:dyDescent="0.35">
      <c r="A63" s="8"/>
      <c r="B63" s="8" t="s">
        <v>368</v>
      </c>
      <c r="C63" s="8"/>
      <c r="D63" s="448">
        <f t="shared" ref="D63:D66" si="29">SUM(F63:Q63)</f>
        <v>13391569.114722084</v>
      </c>
      <c r="E63" s="8"/>
      <c r="F63" s="238">
        <f t="shared" ref="F63:Q63" si="30">F41</f>
        <v>13391569.114722084</v>
      </c>
      <c r="G63" s="238">
        <f t="shared" si="30"/>
        <v>0</v>
      </c>
      <c r="H63" s="238">
        <f t="shared" si="30"/>
        <v>0</v>
      </c>
      <c r="I63" s="238">
        <f t="shared" si="30"/>
        <v>0</v>
      </c>
      <c r="J63" s="238">
        <f t="shared" si="30"/>
        <v>0</v>
      </c>
      <c r="K63" s="238">
        <f t="shared" si="30"/>
        <v>0</v>
      </c>
      <c r="L63" s="238">
        <f t="shared" si="30"/>
        <v>0</v>
      </c>
      <c r="M63" s="238">
        <f t="shared" si="30"/>
        <v>0</v>
      </c>
      <c r="N63" s="238">
        <f t="shared" si="30"/>
        <v>0</v>
      </c>
      <c r="O63" s="238">
        <f t="shared" si="30"/>
        <v>0</v>
      </c>
      <c r="P63" s="238">
        <f t="shared" si="30"/>
        <v>0</v>
      </c>
      <c r="Q63" s="238">
        <f t="shared" si="30"/>
        <v>0</v>
      </c>
      <c r="R63" s="85"/>
      <c r="S63" s="85"/>
    </row>
    <row r="64" spans="1:19" ht="12.75" customHeight="1" x14ac:dyDescent="0.35">
      <c r="A64" s="8"/>
      <c r="B64" s="8" t="s">
        <v>369</v>
      </c>
      <c r="C64" s="8"/>
      <c r="D64" s="448">
        <f t="shared" si="29"/>
        <v>48911251.81440863</v>
      </c>
      <c r="E64" s="8"/>
      <c r="F64" s="238">
        <f t="shared" ref="F64:Q64" si="31">+F62*$C$59</f>
        <v>0</v>
      </c>
      <c r="G64" s="238">
        <f t="shared" si="31"/>
        <v>2008735.3672083125</v>
      </c>
      <c r="H64" s="238">
        <f t="shared" si="31"/>
        <v>2310045.6722895596</v>
      </c>
      <c r="I64" s="238">
        <f t="shared" si="31"/>
        <v>2656552.5231329934</v>
      </c>
      <c r="J64" s="238">
        <f t="shared" si="31"/>
        <v>3055035.4016029425</v>
      </c>
      <c r="K64" s="238">
        <f t="shared" si="31"/>
        <v>3513290.711843384</v>
      </c>
      <c r="L64" s="238">
        <f t="shared" si="31"/>
        <v>4040284.3186198911</v>
      </c>
      <c r="M64" s="238">
        <f t="shared" si="31"/>
        <v>4646326.9664128749</v>
      </c>
      <c r="N64" s="238">
        <f t="shared" si="31"/>
        <v>5343276.0113748061</v>
      </c>
      <c r="O64" s="238">
        <f t="shared" si="31"/>
        <v>6144767.4130810266</v>
      </c>
      <c r="P64" s="238">
        <f t="shared" si="31"/>
        <v>7066482.5250431811</v>
      </c>
      <c r="Q64" s="238">
        <f t="shared" si="31"/>
        <v>8126454.9037996586</v>
      </c>
      <c r="R64" s="85"/>
      <c r="S64" s="85"/>
    </row>
    <row r="65" spans="1:19" ht="12.75" customHeight="1" x14ac:dyDescent="0.35">
      <c r="A65" s="8"/>
      <c r="B65" s="8" t="s">
        <v>379</v>
      </c>
      <c r="C65" s="8"/>
      <c r="D65" s="258">
        <f t="shared" si="29"/>
        <v>0</v>
      </c>
      <c r="E65" s="8"/>
      <c r="F65" s="238">
        <f t="shared" ref="F65:Q65" si="32">F43</f>
        <v>0</v>
      </c>
      <c r="G65" s="238">
        <f t="shared" si="32"/>
        <v>0</v>
      </c>
      <c r="H65" s="238">
        <f t="shared" si="32"/>
        <v>0</v>
      </c>
      <c r="I65" s="238">
        <f t="shared" si="32"/>
        <v>0</v>
      </c>
      <c r="J65" s="238">
        <f t="shared" si="32"/>
        <v>0</v>
      </c>
      <c r="K65" s="238">
        <f t="shared" si="32"/>
        <v>0</v>
      </c>
      <c r="L65" s="238">
        <f t="shared" si="32"/>
        <v>0</v>
      </c>
      <c r="M65" s="238">
        <f t="shared" si="32"/>
        <v>0</v>
      </c>
      <c r="N65" s="238">
        <f t="shared" si="32"/>
        <v>0</v>
      </c>
      <c r="O65" s="238">
        <f t="shared" si="32"/>
        <v>0</v>
      </c>
      <c r="P65" s="238">
        <f t="shared" si="32"/>
        <v>0</v>
      </c>
      <c r="Q65" s="238">
        <f t="shared" si="32"/>
        <v>0</v>
      </c>
      <c r="R65" s="85"/>
      <c r="S65" s="85"/>
    </row>
    <row r="66" spans="1:19" ht="12.75" customHeight="1" x14ac:dyDescent="0.35">
      <c r="A66" s="85"/>
      <c r="B66" s="150" t="s">
        <v>380</v>
      </c>
      <c r="C66" s="150"/>
      <c r="D66" s="275">
        <f t="shared" si="29"/>
        <v>0</v>
      </c>
      <c r="E66" s="150"/>
      <c r="F66" s="260">
        <f t="shared" ref="F66:Q66" si="33">MIN(0,MAX(-(F62+F64+F65),-F52*$D$59))</f>
        <v>0</v>
      </c>
      <c r="G66" s="260">
        <f t="shared" si="33"/>
        <v>0</v>
      </c>
      <c r="H66" s="260">
        <f t="shared" si="33"/>
        <v>0</v>
      </c>
      <c r="I66" s="260">
        <f t="shared" si="33"/>
        <v>0</v>
      </c>
      <c r="J66" s="260">
        <f t="shared" si="33"/>
        <v>0</v>
      </c>
      <c r="K66" s="260">
        <f t="shared" si="33"/>
        <v>0</v>
      </c>
      <c r="L66" s="260">
        <f t="shared" si="33"/>
        <v>0</v>
      </c>
      <c r="M66" s="260">
        <f t="shared" si="33"/>
        <v>0</v>
      </c>
      <c r="N66" s="260">
        <f t="shared" si="33"/>
        <v>0</v>
      </c>
      <c r="O66" s="260">
        <f t="shared" si="33"/>
        <v>0</v>
      </c>
      <c r="P66" s="260">
        <f t="shared" si="33"/>
        <v>0</v>
      </c>
      <c r="Q66" s="260">
        <f t="shared" si="33"/>
        <v>0</v>
      </c>
      <c r="R66" s="85"/>
      <c r="S66" s="85"/>
    </row>
    <row r="67" spans="1:19" ht="12.75" customHeight="1" x14ac:dyDescent="0.35">
      <c r="A67" s="85"/>
      <c r="B67" s="8" t="s">
        <v>371</v>
      </c>
      <c r="C67" s="8"/>
      <c r="D67" s="258">
        <f>SUM(D63:D66)</f>
        <v>62302820.929130718</v>
      </c>
      <c r="E67" s="8"/>
      <c r="F67" s="238">
        <f t="shared" ref="F67:Q67" si="34">SUM(F62:F66)</f>
        <v>13391569.114722084</v>
      </c>
      <c r="G67" s="238">
        <f t="shared" si="34"/>
        <v>15400304.481930397</v>
      </c>
      <c r="H67" s="238">
        <f t="shared" si="34"/>
        <v>17710350.154219955</v>
      </c>
      <c r="I67" s="238">
        <f t="shared" si="34"/>
        <v>20366902.67735295</v>
      </c>
      <c r="J67" s="238">
        <f t="shared" si="34"/>
        <v>23421938.078955892</v>
      </c>
      <c r="K67" s="238">
        <f t="shared" si="34"/>
        <v>26935228.790799275</v>
      </c>
      <c r="L67" s="238">
        <f t="shared" si="34"/>
        <v>30975513.109419167</v>
      </c>
      <c r="M67" s="238">
        <f t="shared" si="34"/>
        <v>35621840.075832039</v>
      </c>
      <c r="N67" s="238">
        <f t="shared" si="34"/>
        <v>40965116.087206848</v>
      </c>
      <c r="O67" s="238">
        <f t="shared" si="34"/>
        <v>47109883.500287876</v>
      </c>
      <c r="P67" s="238">
        <f t="shared" si="34"/>
        <v>54176366.025331058</v>
      </c>
      <c r="Q67" s="238">
        <f t="shared" si="34"/>
        <v>62302820.929130718</v>
      </c>
      <c r="R67" s="85"/>
      <c r="S67" s="85"/>
    </row>
    <row r="68" spans="1:19" ht="12.75" customHeight="1" x14ac:dyDescent="0.35">
      <c r="A68" s="85"/>
      <c r="B68" s="8"/>
      <c r="C68" s="8"/>
      <c r="D68" s="8"/>
      <c r="E68" s="8"/>
      <c r="F68" s="8"/>
      <c r="G68" s="8"/>
      <c r="H68" s="276"/>
      <c r="I68" s="8"/>
      <c r="J68" s="8"/>
      <c r="K68" s="8"/>
      <c r="L68" s="8"/>
      <c r="M68" s="8"/>
      <c r="N68" s="8"/>
      <c r="O68" s="8"/>
      <c r="P68" s="8"/>
      <c r="Q68" s="8"/>
      <c r="R68" s="85"/>
      <c r="S68" s="85"/>
    </row>
    <row r="69" spans="1:19" ht="12.75" customHeight="1" x14ac:dyDescent="0.35">
      <c r="A69" s="85"/>
      <c r="B69" s="262" t="s">
        <v>373</v>
      </c>
      <c r="C69" s="263">
        <f>D59</f>
        <v>0.42</v>
      </c>
      <c r="D69" s="262"/>
      <c r="E69" s="265">
        <f t="shared" ref="E69:E71" si="35">SUM(F69:Q69)</f>
        <v>0</v>
      </c>
      <c r="F69" s="265">
        <f t="shared" ref="F69:Q69" si="36">MAX(0,MIN(-(F63+F66),F62+F64))</f>
        <v>0</v>
      </c>
      <c r="G69" s="265">
        <f t="shared" si="36"/>
        <v>0</v>
      </c>
      <c r="H69" s="265">
        <f t="shared" si="36"/>
        <v>0</v>
      </c>
      <c r="I69" s="265">
        <f t="shared" si="36"/>
        <v>0</v>
      </c>
      <c r="J69" s="265">
        <f t="shared" si="36"/>
        <v>0</v>
      </c>
      <c r="K69" s="265">
        <f t="shared" si="36"/>
        <v>0</v>
      </c>
      <c r="L69" s="265">
        <f t="shared" si="36"/>
        <v>0</v>
      </c>
      <c r="M69" s="265">
        <f t="shared" si="36"/>
        <v>0</v>
      </c>
      <c r="N69" s="265">
        <f t="shared" si="36"/>
        <v>0</v>
      </c>
      <c r="O69" s="265">
        <f t="shared" si="36"/>
        <v>0</v>
      </c>
      <c r="P69" s="265">
        <f t="shared" si="36"/>
        <v>0</v>
      </c>
      <c r="Q69" s="265">
        <f t="shared" si="36"/>
        <v>0</v>
      </c>
      <c r="R69" s="85"/>
      <c r="S69" s="85"/>
    </row>
    <row r="70" spans="1:19" ht="12.75" customHeight="1" x14ac:dyDescent="0.35">
      <c r="A70" s="85"/>
      <c r="B70" s="266" t="s">
        <v>374</v>
      </c>
      <c r="C70" s="267">
        <f>D60-C71</f>
        <v>0.18000000000000005</v>
      </c>
      <c r="D70" s="266"/>
      <c r="E70" s="268">
        <f t="shared" si="35"/>
        <v>0</v>
      </c>
      <c r="F70" s="268">
        <f t="shared" ref="F70:Q70" si="37">-F66/$C$69*$C$70</f>
        <v>0</v>
      </c>
      <c r="G70" s="268">
        <f t="shared" si="37"/>
        <v>0</v>
      </c>
      <c r="H70" s="268">
        <f t="shared" si="37"/>
        <v>0</v>
      </c>
      <c r="I70" s="268">
        <f t="shared" si="37"/>
        <v>0</v>
      </c>
      <c r="J70" s="268">
        <f t="shared" si="37"/>
        <v>0</v>
      </c>
      <c r="K70" s="268">
        <f t="shared" si="37"/>
        <v>0</v>
      </c>
      <c r="L70" s="268">
        <f t="shared" si="37"/>
        <v>0</v>
      </c>
      <c r="M70" s="268">
        <f t="shared" si="37"/>
        <v>0</v>
      </c>
      <c r="N70" s="268">
        <f t="shared" si="37"/>
        <v>0</v>
      </c>
      <c r="O70" s="268">
        <f t="shared" si="37"/>
        <v>0</v>
      </c>
      <c r="P70" s="268">
        <f t="shared" si="37"/>
        <v>0</v>
      </c>
      <c r="Q70" s="268">
        <f t="shared" si="37"/>
        <v>0</v>
      </c>
      <c r="R70" s="85"/>
      <c r="S70" s="85"/>
    </row>
    <row r="71" spans="1:19" ht="12.75" customHeight="1" x14ac:dyDescent="0.35">
      <c r="A71" s="85"/>
      <c r="B71" s="269" t="s">
        <v>375</v>
      </c>
      <c r="C71" s="270">
        <f>F14</f>
        <v>0.4</v>
      </c>
      <c r="D71" s="269"/>
      <c r="E71" s="271">
        <f t="shared" si="35"/>
        <v>0</v>
      </c>
      <c r="F71" s="271">
        <f t="shared" ref="F71:Q71" si="38">-F66/$C$69*$C$71</f>
        <v>0</v>
      </c>
      <c r="G71" s="271">
        <f t="shared" si="38"/>
        <v>0</v>
      </c>
      <c r="H71" s="271">
        <f t="shared" si="38"/>
        <v>0</v>
      </c>
      <c r="I71" s="271">
        <f t="shared" si="38"/>
        <v>0</v>
      </c>
      <c r="J71" s="271">
        <f t="shared" si="38"/>
        <v>0</v>
      </c>
      <c r="K71" s="271">
        <f t="shared" si="38"/>
        <v>0</v>
      </c>
      <c r="L71" s="271">
        <f t="shared" si="38"/>
        <v>0</v>
      </c>
      <c r="M71" s="271">
        <f t="shared" si="38"/>
        <v>0</v>
      </c>
      <c r="N71" s="271">
        <f t="shared" si="38"/>
        <v>0</v>
      </c>
      <c r="O71" s="271">
        <f t="shared" si="38"/>
        <v>0</v>
      </c>
      <c r="P71" s="271">
        <f t="shared" si="38"/>
        <v>0</v>
      </c>
      <c r="Q71" s="271">
        <f t="shared" si="38"/>
        <v>0</v>
      </c>
      <c r="R71" s="85"/>
      <c r="S71" s="85"/>
    </row>
    <row r="72" spans="1:19" ht="12.75" customHeight="1" x14ac:dyDescent="0.35">
      <c r="A72" s="85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5"/>
      <c r="S72" s="85"/>
    </row>
    <row r="73" spans="1:19" ht="12.75" customHeight="1" x14ac:dyDescent="0.35">
      <c r="A73" s="85"/>
      <c r="B73" s="272" t="s">
        <v>376</v>
      </c>
      <c r="C73" s="272"/>
      <c r="D73" s="272"/>
      <c r="E73" s="273">
        <f>SUM(F73:Q73)</f>
        <v>0</v>
      </c>
      <c r="F73" s="273">
        <f t="shared" ref="F73:Q73" si="39">F52-SUM(F69:F71)</f>
        <v>0</v>
      </c>
      <c r="G73" s="273">
        <f t="shared" si="39"/>
        <v>0</v>
      </c>
      <c r="H73" s="273">
        <f t="shared" si="39"/>
        <v>0</v>
      </c>
      <c r="I73" s="273">
        <f t="shared" si="39"/>
        <v>0</v>
      </c>
      <c r="J73" s="273">
        <f t="shared" si="39"/>
        <v>0</v>
      </c>
      <c r="K73" s="273">
        <f t="shared" si="39"/>
        <v>0</v>
      </c>
      <c r="L73" s="273">
        <f t="shared" si="39"/>
        <v>0</v>
      </c>
      <c r="M73" s="273">
        <f t="shared" si="39"/>
        <v>0</v>
      </c>
      <c r="N73" s="273">
        <f t="shared" si="39"/>
        <v>0</v>
      </c>
      <c r="O73" s="273">
        <f t="shared" si="39"/>
        <v>0</v>
      </c>
      <c r="P73" s="273">
        <f t="shared" si="39"/>
        <v>0</v>
      </c>
      <c r="Q73" s="273">
        <f t="shared" si="39"/>
        <v>0</v>
      </c>
      <c r="R73" s="85"/>
      <c r="S73" s="85"/>
    </row>
    <row r="74" spans="1:19" ht="12.75" customHeight="1" x14ac:dyDescent="0.35">
      <c r="A74" s="85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5"/>
      <c r="S74" s="85"/>
    </row>
    <row r="75" spans="1:19" ht="12.75" hidden="1" customHeight="1" outlineLevel="1" x14ac:dyDescent="0.35">
      <c r="A75" s="85"/>
      <c r="B75" s="8"/>
      <c r="C75" s="8"/>
      <c r="D75" s="8"/>
      <c r="E75" s="8"/>
      <c r="F75" s="232">
        <f t="shared" ref="F75:Q75" si="40">ROUNDUP(F76/12,0)</f>
        <v>0</v>
      </c>
      <c r="G75" s="232">
        <f t="shared" si="40"/>
        <v>1</v>
      </c>
      <c r="H75" s="232">
        <f t="shared" si="40"/>
        <v>2</v>
      </c>
      <c r="I75" s="232">
        <f t="shared" si="40"/>
        <v>3</v>
      </c>
      <c r="J75" s="232">
        <f t="shared" si="40"/>
        <v>4</v>
      </c>
      <c r="K75" s="232">
        <f t="shared" si="40"/>
        <v>5</v>
      </c>
      <c r="L75" s="232">
        <f t="shared" si="40"/>
        <v>6</v>
      </c>
      <c r="M75" s="232">
        <f t="shared" si="40"/>
        <v>7</v>
      </c>
      <c r="N75" s="232">
        <f t="shared" si="40"/>
        <v>8</v>
      </c>
      <c r="O75" s="232">
        <f t="shared" si="40"/>
        <v>9</v>
      </c>
      <c r="P75" s="232">
        <f t="shared" si="40"/>
        <v>10</v>
      </c>
      <c r="Q75" s="232">
        <f t="shared" si="40"/>
        <v>11</v>
      </c>
      <c r="R75" s="85"/>
      <c r="S75" s="85"/>
    </row>
    <row r="76" spans="1:19" ht="12.75" hidden="1" customHeight="1" outlineLevel="1" x14ac:dyDescent="0.35">
      <c r="A76" s="85"/>
      <c r="B76" s="233"/>
      <c r="C76" s="234"/>
      <c r="D76" s="234"/>
      <c r="E76" s="234"/>
      <c r="F76" s="235">
        <f t="shared" ref="F76:Q76" si="41">F19</f>
        <v>0</v>
      </c>
      <c r="G76" s="235">
        <f t="shared" si="41"/>
        <v>12</v>
      </c>
      <c r="H76" s="235">
        <f t="shared" si="41"/>
        <v>24</v>
      </c>
      <c r="I76" s="235">
        <f t="shared" si="41"/>
        <v>36</v>
      </c>
      <c r="J76" s="235">
        <f t="shared" si="41"/>
        <v>48</v>
      </c>
      <c r="K76" s="235">
        <f t="shared" si="41"/>
        <v>60</v>
      </c>
      <c r="L76" s="235">
        <f t="shared" si="41"/>
        <v>72</v>
      </c>
      <c r="M76" s="235">
        <f t="shared" si="41"/>
        <v>84</v>
      </c>
      <c r="N76" s="235">
        <f t="shared" si="41"/>
        <v>96</v>
      </c>
      <c r="O76" s="235">
        <f t="shared" si="41"/>
        <v>108</v>
      </c>
      <c r="P76" s="235">
        <f t="shared" si="41"/>
        <v>120</v>
      </c>
      <c r="Q76" s="235">
        <f t="shared" si="41"/>
        <v>132</v>
      </c>
      <c r="R76" s="85"/>
      <c r="S76" s="85"/>
    </row>
    <row r="77" spans="1:19" ht="12.75" hidden="1" customHeight="1" outlineLevel="1" x14ac:dyDescent="0.35">
      <c r="A77" s="85"/>
      <c r="B77" s="233" t="s">
        <v>381</v>
      </c>
      <c r="C77" s="234"/>
      <c r="D77" s="234"/>
      <c r="E77" s="234"/>
      <c r="F77" s="236">
        <f t="shared" ref="F77:Q77" si="42">F20</f>
        <v>45488</v>
      </c>
      <c r="G77" s="236">
        <f t="shared" si="42"/>
        <v>45869</v>
      </c>
      <c r="H77" s="236">
        <f t="shared" si="42"/>
        <v>46234</v>
      </c>
      <c r="I77" s="236">
        <f t="shared" si="42"/>
        <v>46599</v>
      </c>
      <c r="J77" s="236">
        <f t="shared" si="42"/>
        <v>46965</v>
      </c>
      <c r="K77" s="236">
        <f t="shared" si="42"/>
        <v>47330</v>
      </c>
      <c r="L77" s="236">
        <f t="shared" si="42"/>
        <v>47695</v>
      </c>
      <c r="M77" s="236">
        <f t="shared" si="42"/>
        <v>48060</v>
      </c>
      <c r="N77" s="236">
        <f t="shared" si="42"/>
        <v>48426</v>
      </c>
      <c r="O77" s="236">
        <f t="shared" si="42"/>
        <v>48791</v>
      </c>
      <c r="P77" s="236">
        <f t="shared" si="42"/>
        <v>49156</v>
      </c>
      <c r="Q77" s="236">
        <f t="shared" si="42"/>
        <v>49521</v>
      </c>
      <c r="R77" s="85"/>
      <c r="S77" s="85"/>
    </row>
    <row r="78" spans="1:19" ht="12.75" customHeight="1" collapsed="1" x14ac:dyDescent="0.35">
      <c r="A78" s="85"/>
      <c r="B78" s="250" t="s">
        <v>381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5"/>
      <c r="S78" s="85"/>
    </row>
    <row r="79" spans="1:19" ht="12.75" customHeight="1" x14ac:dyDescent="0.35">
      <c r="A79" s="85"/>
      <c r="B79" s="251" t="s">
        <v>353</v>
      </c>
      <c r="C79" s="252" t="s">
        <v>347</v>
      </c>
      <c r="D79" s="253" t="s">
        <v>378</v>
      </c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5"/>
      <c r="S79" s="85"/>
    </row>
    <row r="80" spans="1:19" ht="12.75" customHeight="1" x14ac:dyDescent="0.35">
      <c r="A80" s="85"/>
      <c r="B80" s="254" t="s">
        <v>258</v>
      </c>
      <c r="C80" s="237">
        <f>E15</f>
        <v>0.2</v>
      </c>
      <c r="D80" s="255">
        <f>G15</f>
        <v>0.35</v>
      </c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5"/>
      <c r="S80" s="85"/>
    </row>
    <row r="81" spans="1:19" ht="12.75" customHeight="1" x14ac:dyDescent="0.35">
      <c r="A81" s="8"/>
      <c r="B81" s="256" t="s">
        <v>366</v>
      </c>
      <c r="C81" s="274"/>
      <c r="D81" s="257">
        <f>H15</f>
        <v>0.65</v>
      </c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5"/>
      <c r="S81" s="85"/>
    </row>
    <row r="82" spans="1:19" ht="12.75" customHeight="1" x14ac:dyDescent="0.3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5"/>
      <c r="S82" s="85"/>
    </row>
    <row r="83" spans="1:19" ht="12.75" customHeight="1" x14ac:dyDescent="0.35">
      <c r="A83" s="8"/>
      <c r="B83" s="8" t="s">
        <v>367</v>
      </c>
      <c r="C83" s="8"/>
      <c r="D83" s="8"/>
      <c r="E83" s="8"/>
      <c r="F83" s="238">
        <v>0</v>
      </c>
      <c r="G83" s="238">
        <f t="shared" ref="G83:Q83" si="43">F89</f>
        <v>13391569.114722084</v>
      </c>
      <c r="H83" s="238">
        <f t="shared" si="43"/>
        <v>16069882.937666502</v>
      </c>
      <c r="I83" s="238">
        <f t="shared" si="43"/>
        <v>19283859.525199801</v>
      </c>
      <c r="J83" s="238">
        <f t="shared" si="43"/>
        <v>23140631.430239759</v>
      </c>
      <c r="K83" s="238">
        <f t="shared" si="43"/>
        <v>27768757.71628771</v>
      </c>
      <c r="L83" s="238">
        <f t="shared" si="43"/>
        <v>33322509.259545252</v>
      </c>
      <c r="M83" s="238">
        <f t="shared" si="43"/>
        <v>39987011.111454301</v>
      </c>
      <c r="N83" s="238">
        <f t="shared" si="43"/>
        <v>47984413.333745159</v>
      </c>
      <c r="O83" s="238">
        <f t="shared" si="43"/>
        <v>57581296.00049419</v>
      </c>
      <c r="P83" s="238">
        <f t="shared" si="43"/>
        <v>69097555.200593024</v>
      </c>
      <c r="Q83" s="238">
        <f t="shared" si="43"/>
        <v>82917066.240711629</v>
      </c>
      <c r="R83" s="85"/>
      <c r="S83" s="85"/>
    </row>
    <row r="84" spans="1:19" ht="12.75" customHeight="1" x14ac:dyDescent="0.35">
      <c r="A84" s="8"/>
      <c r="B84" s="8" t="s">
        <v>368</v>
      </c>
      <c r="C84" s="8"/>
      <c r="D84" s="448">
        <f t="shared" ref="D84:D88" si="44">SUM(F84:Q84)</f>
        <v>13391569.114722084</v>
      </c>
      <c r="E84" s="8"/>
      <c r="F84" s="238">
        <f t="shared" ref="F84:Q84" si="45">F41</f>
        <v>13391569.114722084</v>
      </c>
      <c r="G84" s="238">
        <f t="shared" si="45"/>
        <v>0</v>
      </c>
      <c r="H84" s="238">
        <f t="shared" si="45"/>
        <v>0</v>
      </c>
      <c r="I84" s="238">
        <f t="shared" si="45"/>
        <v>0</v>
      </c>
      <c r="J84" s="238">
        <f t="shared" si="45"/>
        <v>0</v>
      </c>
      <c r="K84" s="238">
        <f t="shared" si="45"/>
        <v>0</v>
      </c>
      <c r="L84" s="238">
        <f t="shared" si="45"/>
        <v>0</v>
      </c>
      <c r="M84" s="238">
        <f t="shared" si="45"/>
        <v>0</v>
      </c>
      <c r="N84" s="238">
        <f t="shared" si="45"/>
        <v>0</v>
      </c>
      <c r="O84" s="238">
        <f t="shared" si="45"/>
        <v>0</v>
      </c>
      <c r="P84" s="238">
        <f t="shared" si="45"/>
        <v>0</v>
      </c>
      <c r="Q84" s="238">
        <f t="shared" si="45"/>
        <v>0</v>
      </c>
      <c r="R84" s="85"/>
      <c r="S84" s="85"/>
    </row>
    <row r="85" spans="1:19" ht="12.75" customHeight="1" x14ac:dyDescent="0.35">
      <c r="A85" s="8"/>
      <c r="B85" s="8" t="s">
        <v>369</v>
      </c>
      <c r="C85" s="8"/>
      <c r="D85" s="448">
        <f t="shared" si="44"/>
        <v>86108910.374131888</v>
      </c>
      <c r="E85" s="8"/>
      <c r="F85" s="238">
        <f t="shared" ref="F85:Q85" si="46">+F83*$C$80</f>
        <v>0</v>
      </c>
      <c r="G85" s="238">
        <f t="shared" si="46"/>
        <v>2678313.8229444171</v>
      </c>
      <c r="H85" s="238">
        <f t="shared" si="46"/>
        <v>3213976.5875333007</v>
      </c>
      <c r="I85" s="238">
        <f t="shared" si="46"/>
        <v>3856771.9050399605</v>
      </c>
      <c r="J85" s="238">
        <f t="shared" si="46"/>
        <v>4628126.2860479522</v>
      </c>
      <c r="K85" s="238">
        <f t="shared" si="46"/>
        <v>5553751.543257542</v>
      </c>
      <c r="L85" s="238">
        <f t="shared" si="46"/>
        <v>6664501.8519090507</v>
      </c>
      <c r="M85" s="238">
        <f t="shared" si="46"/>
        <v>7997402.2222908605</v>
      </c>
      <c r="N85" s="238">
        <f t="shared" si="46"/>
        <v>9596882.6667490322</v>
      </c>
      <c r="O85" s="238">
        <f t="shared" si="46"/>
        <v>11516259.200098839</v>
      </c>
      <c r="P85" s="238">
        <f t="shared" si="46"/>
        <v>13819511.040118605</v>
      </c>
      <c r="Q85" s="238">
        <f t="shared" si="46"/>
        <v>16583413.248142326</v>
      </c>
      <c r="R85" s="85"/>
      <c r="S85" s="85"/>
    </row>
    <row r="86" spans="1:19" ht="12.75" customHeight="1" x14ac:dyDescent="0.35">
      <c r="A86" s="8"/>
      <c r="B86" s="8" t="s">
        <v>379</v>
      </c>
      <c r="C86" s="8"/>
      <c r="D86" s="258">
        <f t="shared" si="44"/>
        <v>0</v>
      </c>
      <c r="E86" s="8"/>
      <c r="F86" s="238">
        <f t="shared" ref="F86:Q86" si="47">F43</f>
        <v>0</v>
      </c>
      <c r="G86" s="238">
        <f t="shared" si="47"/>
        <v>0</v>
      </c>
      <c r="H86" s="238">
        <f t="shared" si="47"/>
        <v>0</v>
      </c>
      <c r="I86" s="238">
        <f t="shared" si="47"/>
        <v>0</v>
      </c>
      <c r="J86" s="238">
        <f t="shared" si="47"/>
        <v>0</v>
      </c>
      <c r="K86" s="238">
        <f t="shared" si="47"/>
        <v>0</v>
      </c>
      <c r="L86" s="238">
        <f t="shared" si="47"/>
        <v>0</v>
      </c>
      <c r="M86" s="238">
        <f t="shared" si="47"/>
        <v>0</v>
      </c>
      <c r="N86" s="238">
        <f t="shared" si="47"/>
        <v>0</v>
      </c>
      <c r="O86" s="238">
        <f t="shared" si="47"/>
        <v>0</v>
      </c>
      <c r="P86" s="238">
        <f t="shared" si="47"/>
        <v>0</v>
      </c>
      <c r="Q86" s="238">
        <f t="shared" si="47"/>
        <v>0</v>
      </c>
      <c r="R86" s="85"/>
      <c r="S86" s="85"/>
    </row>
    <row r="87" spans="1:19" ht="12.75" customHeight="1" x14ac:dyDescent="0.35">
      <c r="A87" s="85"/>
      <c r="B87" s="8" t="s">
        <v>380</v>
      </c>
      <c r="C87" s="8"/>
      <c r="D87" s="258">
        <f t="shared" si="44"/>
        <v>0</v>
      </c>
      <c r="E87" s="8"/>
      <c r="F87" s="238">
        <f t="shared" ref="F87:Q87" si="48">F66</f>
        <v>0</v>
      </c>
      <c r="G87" s="238">
        <f t="shared" si="48"/>
        <v>0</v>
      </c>
      <c r="H87" s="238">
        <f t="shared" si="48"/>
        <v>0</v>
      </c>
      <c r="I87" s="238">
        <f t="shared" si="48"/>
        <v>0</v>
      </c>
      <c r="J87" s="238">
        <f t="shared" si="48"/>
        <v>0</v>
      </c>
      <c r="K87" s="238">
        <f t="shared" si="48"/>
        <v>0</v>
      </c>
      <c r="L87" s="238">
        <f t="shared" si="48"/>
        <v>0</v>
      </c>
      <c r="M87" s="238">
        <f t="shared" si="48"/>
        <v>0</v>
      </c>
      <c r="N87" s="238">
        <f t="shared" si="48"/>
        <v>0</v>
      </c>
      <c r="O87" s="238">
        <f t="shared" si="48"/>
        <v>0</v>
      </c>
      <c r="P87" s="238">
        <f t="shared" si="48"/>
        <v>0</v>
      </c>
      <c r="Q87" s="238">
        <f t="shared" si="48"/>
        <v>0</v>
      </c>
      <c r="R87" s="85"/>
      <c r="S87" s="85"/>
    </row>
    <row r="88" spans="1:19" ht="12.75" customHeight="1" x14ac:dyDescent="0.35">
      <c r="A88" s="85"/>
      <c r="B88" s="150" t="s">
        <v>382</v>
      </c>
      <c r="C88" s="150"/>
      <c r="D88" s="275">
        <f t="shared" si="44"/>
        <v>0</v>
      </c>
      <c r="E88" s="277"/>
      <c r="F88" s="260">
        <f t="shared" ref="F88:Q88" si="49">MIN(0,MAX(-F83-F85-F86-F87,-F73*$D$80))</f>
        <v>0</v>
      </c>
      <c r="G88" s="260">
        <f t="shared" si="49"/>
        <v>0</v>
      </c>
      <c r="H88" s="260">
        <f t="shared" si="49"/>
        <v>0</v>
      </c>
      <c r="I88" s="260">
        <f t="shared" si="49"/>
        <v>0</v>
      </c>
      <c r="J88" s="260">
        <f t="shared" si="49"/>
        <v>0</v>
      </c>
      <c r="K88" s="260">
        <f t="shared" si="49"/>
        <v>0</v>
      </c>
      <c r="L88" s="260">
        <f t="shared" si="49"/>
        <v>0</v>
      </c>
      <c r="M88" s="260">
        <f t="shared" si="49"/>
        <v>0</v>
      </c>
      <c r="N88" s="260">
        <f t="shared" si="49"/>
        <v>0</v>
      </c>
      <c r="O88" s="260">
        <f t="shared" si="49"/>
        <v>0</v>
      </c>
      <c r="P88" s="260">
        <f t="shared" si="49"/>
        <v>0</v>
      </c>
      <c r="Q88" s="260">
        <f t="shared" si="49"/>
        <v>0</v>
      </c>
      <c r="R88" s="85"/>
      <c r="S88" s="85"/>
    </row>
    <row r="89" spans="1:19" ht="12.75" customHeight="1" x14ac:dyDescent="0.35">
      <c r="A89" s="85"/>
      <c r="B89" s="8" t="s">
        <v>371</v>
      </c>
      <c r="C89" s="8"/>
      <c r="D89" s="258">
        <f>SUM(D84:D88)</f>
        <v>99500479.488853976</v>
      </c>
      <c r="E89" s="8"/>
      <c r="F89" s="238">
        <f t="shared" ref="F89:Q89" si="50">SUM(F83:F88)</f>
        <v>13391569.114722084</v>
      </c>
      <c r="G89" s="238">
        <f t="shared" si="50"/>
        <v>16069882.937666502</v>
      </c>
      <c r="H89" s="238">
        <f t="shared" si="50"/>
        <v>19283859.525199801</v>
      </c>
      <c r="I89" s="238">
        <f t="shared" si="50"/>
        <v>23140631.430239759</v>
      </c>
      <c r="J89" s="238">
        <f t="shared" si="50"/>
        <v>27768757.71628771</v>
      </c>
      <c r="K89" s="238">
        <f t="shared" si="50"/>
        <v>33322509.259545252</v>
      </c>
      <c r="L89" s="238">
        <f t="shared" si="50"/>
        <v>39987011.111454301</v>
      </c>
      <c r="M89" s="238">
        <f t="shared" si="50"/>
        <v>47984413.333745159</v>
      </c>
      <c r="N89" s="238">
        <f t="shared" si="50"/>
        <v>57581296.00049419</v>
      </c>
      <c r="O89" s="238">
        <f t="shared" si="50"/>
        <v>69097555.200593024</v>
      </c>
      <c r="P89" s="238">
        <f t="shared" si="50"/>
        <v>82917066.240711629</v>
      </c>
      <c r="Q89" s="238">
        <f t="shared" si="50"/>
        <v>99500479.488853961</v>
      </c>
      <c r="R89" s="85"/>
      <c r="S89" s="85"/>
    </row>
    <row r="90" spans="1:19" ht="12.75" customHeight="1" x14ac:dyDescent="0.35">
      <c r="A90" s="85"/>
      <c r="B90" s="8"/>
      <c r="C90" s="8"/>
      <c r="D90" s="8"/>
      <c r="E90" s="8"/>
      <c r="F90" s="30"/>
      <c r="G90" s="30"/>
      <c r="H90" s="30"/>
      <c r="I90" s="278"/>
      <c r="J90" s="30"/>
      <c r="K90" s="30"/>
      <c r="L90" s="30"/>
      <c r="M90" s="30"/>
      <c r="N90" s="30"/>
      <c r="O90" s="30"/>
      <c r="P90" s="30"/>
      <c r="Q90" s="30"/>
      <c r="R90" s="85"/>
      <c r="S90" s="85"/>
    </row>
    <row r="91" spans="1:19" ht="12.75" customHeight="1" x14ac:dyDescent="0.35">
      <c r="A91" s="85"/>
      <c r="B91" s="262" t="s">
        <v>373</v>
      </c>
      <c r="C91" s="263">
        <f>D80</f>
        <v>0.35</v>
      </c>
      <c r="D91" s="262"/>
      <c r="E91" s="265">
        <f t="shared" ref="E91:E93" si="51">SUM(F91:Q91)</f>
        <v>0</v>
      </c>
      <c r="F91" s="265">
        <f t="shared" ref="F91:Q91" si="52">MAX(0,MIN(-(F84+F88),F83+F85))</f>
        <v>0</v>
      </c>
      <c r="G91" s="265">
        <f t="shared" si="52"/>
        <v>0</v>
      </c>
      <c r="H91" s="265">
        <f t="shared" si="52"/>
        <v>0</v>
      </c>
      <c r="I91" s="265">
        <f t="shared" si="52"/>
        <v>0</v>
      </c>
      <c r="J91" s="265">
        <f t="shared" si="52"/>
        <v>0</v>
      </c>
      <c r="K91" s="265">
        <f t="shared" si="52"/>
        <v>0</v>
      </c>
      <c r="L91" s="265">
        <f t="shared" si="52"/>
        <v>0</v>
      </c>
      <c r="M91" s="265">
        <f t="shared" si="52"/>
        <v>0</v>
      </c>
      <c r="N91" s="265">
        <f t="shared" si="52"/>
        <v>0</v>
      </c>
      <c r="O91" s="265">
        <f t="shared" si="52"/>
        <v>0</v>
      </c>
      <c r="P91" s="265">
        <f t="shared" si="52"/>
        <v>0</v>
      </c>
      <c r="Q91" s="265">
        <f t="shared" si="52"/>
        <v>0</v>
      </c>
      <c r="R91" s="85"/>
      <c r="S91" s="85"/>
    </row>
    <row r="92" spans="1:19" ht="12.75" customHeight="1" x14ac:dyDescent="0.35">
      <c r="A92" s="85"/>
      <c r="B92" s="266" t="s">
        <v>374</v>
      </c>
      <c r="C92" s="267">
        <f>D81-C93</f>
        <v>0.15000000000000002</v>
      </c>
      <c r="D92" s="266"/>
      <c r="E92" s="268">
        <f t="shared" si="51"/>
        <v>0</v>
      </c>
      <c r="F92" s="268">
        <f t="shared" ref="F92:Q92" si="53">-F88/$C$91*$C$92</f>
        <v>0</v>
      </c>
      <c r="G92" s="268">
        <f t="shared" si="53"/>
        <v>0</v>
      </c>
      <c r="H92" s="268">
        <f t="shared" si="53"/>
        <v>0</v>
      </c>
      <c r="I92" s="268">
        <f t="shared" si="53"/>
        <v>0</v>
      </c>
      <c r="J92" s="268">
        <f t="shared" si="53"/>
        <v>0</v>
      </c>
      <c r="K92" s="268">
        <f t="shared" si="53"/>
        <v>0</v>
      </c>
      <c r="L92" s="268">
        <f t="shared" si="53"/>
        <v>0</v>
      </c>
      <c r="M92" s="268">
        <f t="shared" si="53"/>
        <v>0</v>
      </c>
      <c r="N92" s="268">
        <f t="shared" si="53"/>
        <v>0</v>
      </c>
      <c r="O92" s="268">
        <f t="shared" si="53"/>
        <v>0</v>
      </c>
      <c r="P92" s="268">
        <f t="shared" si="53"/>
        <v>0</v>
      </c>
      <c r="Q92" s="268">
        <f t="shared" si="53"/>
        <v>0</v>
      </c>
      <c r="R92" s="85"/>
      <c r="S92" s="85"/>
    </row>
    <row r="93" spans="1:19" ht="12.75" customHeight="1" x14ac:dyDescent="0.35">
      <c r="A93" s="85"/>
      <c r="B93" s="269" t="s">
        <v>375</v>
      </c>
      <c r="C93" s="270">
        <f>F15</f>
        <v>0.5</v>
      </c>
      <c r="D93" s="269"/>
      <c r="E93" s="271">
        <f t="shared" si="51"/>
        <v>0</v>
      </c>
      <c r="F93" s="271">
        <f t="shared" ref="F93:Q93" si="54">-F88/$C$91*$C$93</f>
        <v>0</v>
      </c>
      <c r="G93" s="271">
        <f t="shared" si="54"/>
        <v>0</v>
      </c>
      <c r="H93" s="271">
        <f t="shared" si="54"/>
        <v>0</v>
      </c>
      <c r="I93" s="271">
        <f t="shared" si="54"/>
        <v>0</v>
      </c>
      <c r="J93" s="271">
        <f t="shared" si="54"/>
        <v>0</v>
      </c>
      <c r="K93" s="271">
        <f t="shared" si="54"/>
        <v>0</v>
      </c>
      <c r="L93" s="271">
        <f t="shared" si="54"/>
        <v>0</v>
      </c>
      <c r="M93" s="271">
        <f t="shared" si="54"/>
        <v>0</v>
      </c>
      <c r="N93" s="271">
        <f t="shared" si="54"/>
        <v>0</v>
      </c>
      <c r="O93" s="271">
        <f t="shared" si="54"/>
        <v>0</v>
      </c>
      <c r="P93" s="271">
        <f t="shared" si="54"/>
        <v>0</v>
      </c>
      <c r="Q93" s="271">
        <f t="shared" si="54"/>
        <v>0</v>
      </c>
      <c r="R93" s="85"/>
      <c r="S93" s="85"/>
    </row>
    <row r="94" spans="1:19" ht="12.75" customHeight="1" x14ac:dyDescent="0.35">
      <c r="A94" s="85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5"/>
      <c r="S94" s="85"/>
    </row>
    <row r="95" spans="1:19" ht="12.75" customHeight="1" x14ac:dyDescent="0.35">
      <c r="A95" s="85"/>
      <c r="B95" s="272" t="s">
        <v>376</v>
      </c>
      <c r="C95" s="272"/>
      <c r="D95" s="272"/>
      <c r="E95" s="273">
        <f>SUM(F95:Q95)</f>
        <v>0</v>
      </c>
      <c r="F95" s="273">
        <f t="shared" ref="F95:Q95" si="55">F73-SUM(F91:F93)</f>
        <v>0</v>
      </c>
      <c r="G95" s="273">
        <f t="shared" si="55"/>
        <v>0</v>
      </c>
      <c r="H95" s="273">
        <f t="shared" si="55"/>
        <v>0</v>
      </c>
      <c r="I95" s="273">
        <f t="shared" si="55"/>
        <v>0</v>
      </c>
      <c r="J95" s="273">
        <f t="shared" si="55"/>
        <v>0</v>
      </c>
      <c r="K95" s="273">
        <f t="shared" si="55"/>
        <v>0</v>
      </c>
      <c r="L95" s="273">
        <f t="shared" si="55"/>
        <v>0</v>
      </c>
      <c r="M95" s="273">
        <f t="shared" si="55"/>
        <v>0</v>
      </c>
      <c r="N95" s="273">
        <f t="shared" si="55"/>
        <v>0</v>
      </c>
      <c r="O95" s="273">
        <f t="shared" si="55"/>
        <v>0</v>
      </c>
      <c r="P95" s="273">
        <f t="shared" si="55"/>
        <v>0</v>
      </c>
      <c r="Q95" s="273">
        <f t="shared" si="55"/>
        <v>0</v>
      </c>
      <c r="R95" s="85"/>
      <c r="S95" s="85"/>
    </row>
    <row r="96" spans="1:19" ht="12.75" customHeight="1" x14ac:dyDescent="0.35">
      <c r="A96" s="85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5"/>
      <c r="S96" s="85"/>
    </row>
    <row r="97" spans="1:19" ht="12.75" hidden="1" customHeight="1" outlineLevel="1" x14ac:dyDescent="0.35">
      <c r="A97" s="85"/>
      <c r="B97" s="8"/>
      <c r="C97" s="8"/>
      <c r="D97" s="8"/>
      <c r="E97" s="8"/>
      <c r="F97" s="232">
        <f t="shared" ref="F97:Q97" si="56">ROUNDUP(F98/12,0)</f>
        <v>0</v>
      </c>
      <c r="G97" s="232">
        <f t="shared" si="56"/>
        <v>1</v>
      </c>
      <c r="H97" s="232">
        <f t="shared" si="56"/>
        <v>2</v>
      </c>
      <c r="I97" s="232">
        <f t="shared" si="56"/>
        <v>3</v>
      </c>
      <c r="J97" s="232">
        <f t="shared" si="56"/>
        <v>4</v>
      </c>
      <c r="K97" s="232">
        <f t="shared" si="56"/>
        <v>5</v>
      </c>
      <c r="L97" s="232">
        <f t="shared" si="56"/>
        <v>6</v>
      </c>
      <c r="M97" s="232">
        <f t="shared" si="56"/>
        <v>7</v>
      </c>
      <c r="N97" s="232">
        <f t="shared" si="56"/>
        <v>8</v>
      </c>
      <c r="O97" s="232">
        <f t="shared" si="56"/>
        <v>9</v>
      </c>
      <c r="P97" s="232">
        <f t="shared" si="56"/>
        <v>10</v>
      </c>
      <c r="Q97" s="232">
        <f t="shared" si="56"/>
        <v>11</v>
      </c>
      <c r="R97" s="85"/>
      <c r="S97" s="85"/>
    </row>
    <row r="98" spans="1:19" ht="12.75" hidden="1" customHeight="1" outlineLevel="1" x14ac:dyDescent="0.35">
      <c r="A98" s="85"/>
      <c r="B98" s="233"/>
      <c r="C98" s="234"/>
      <c r="D98" s="234"/>
      <c r="E98" s="234"/>
      <c r="F98" s="235">
        <f t="shared" ref="F98:Q98" si="57">F19</f>
        <v>0</v>
      </c>
      <c r="G98" s="235">
        <f t="shared" si="57"/>
        <v>12</v>
      </c>
      <c r="H98" s="235">
        <f t="shared" si="57"/>
        <v>24</v>
      </c>
      <c r="I98" s="235">
        <f t="shared" si="57"/>
        <v>36</v>
      </c>
      <c r="J98" s="235">
        <f t="shared" si="57"/>
        <v>48</v>
      </c>
      <c r="K98" s="235">
        <f t="shared" si="57"/>
        <v>60</v>
      </c>
      <c r="L98" s="235">
        <f t="shared" si="57"/>
        <v>72</v>
      </c>
      <c r="M98" s="235">
        <f t="shared" si="57"/>
        <v>84</v>
      </c>
      <c r="N98" s="235">
        <f t="shared" si="57"/>
        <v>96</v>
      </c>
      <c r="O98" s="235">
        <f t="shared" si="57"/>
        <v>108</v>
      </c>
      <c r="P98" s="235">
        <f t="shared" si="57"/>
        <v>120</v>
      </c>
      <c r="Q98" s="235">
        <f t="shared" si="57"/>
        <v>132</v>
      </c>
      <c r="R98" s="85"/>
      <c r="S98" s="85"/>
    </row>
    <row r="99" spans="1:19" ht="12.75" hidden="1" customHeight="1" outlineLevel="1" x14ac:dyDescent="0.35">
      <c r="A99" s="85"/>
      <c r="B99" s="233" t="s">
        <v>383</v>
      </c>
      <c r="C99" s="234"/>
      <c r="D99" s="234"/>
      <c r="E99" s="234"/>
      <c r="F99" s="236">
        <f t="shared" ref="F99:Q99" si="58">F20</f>
        <v>45488</v>
      </c>
      <c r="G99" s="236">
        <f t="shared" si="58"/>
        <v>45869</v>
      </c>
      <c r="H99" s="236">
        <f t="shared" si="58"/>
        <v>46234</v>
      </c>
      <c r="I99" s="236">
        <f t="shared" si="58"/>
        <v>46599</v>
      </c>
      <c r="J99" s="236">
        <f t="shared" si="58"/>
        <v>46965</v>
      </c>
      <c r="K99" s="236">
        <f t="shared" si="58"/>
        <v>47330</v>
      </c>
      <c r="L99" s="236">
        <f t="shared" si="58"/>
        <v>47695</v>
      </c>
      <c r="M99" s="236">
        <f t="shared" si="58"/>
        <v>48060</v>
      </c>
      <c r="N99" s="236">
        <f t="shared" si="58"/>
        <v>48426</v>
      </c>
      <c r="O99" s="236">
        <f t="shared" si="58"/>
        <v>48791</v>
      </c>
      <c r="P99" s="236">
        <f t="shared" si="58"/>
        <v>49156</v>
      </c>
      <c r="Q99" s="236">
        <f t="shared" si="58"/>
        <v>49521</v>
      </c>
      <c r="R99" s="85"/>
      <c r="S99" s="85"/>
    </row>
    <row r="100" spans="1:19" ht="12.75" customHeight="1" collapsed="1" x14ac:dyDescent="0.35">
      <c r="A100" s="85"/>
      <c r="B100" s="250" t="s">
        <v>383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5"/>
      <c r="S100" s="85"/>
    </row>
    <row r="101" spans="1:19" ht="12.75" customHeight="1" x14ac:dyDescent="0.35">
      <c r="A101" s="85"/>
      <c r="B101" s="251" t="s">
        <v>384</v>
      </c>
      <c r="C101" s="252" t="s">
        <v>385</v>
      </c>
      <c r="D101" s="253" t="s">
        <v>378</v>
      </c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5"/>
      <c r="S101" s="85"/>
    </row>
    <row r="102" spans="1:19" ht="12.75" customHeight="1" x14ac:dyDescent="0.35">
      <c r="A102" s="85"/>
      <c r="B102" s="254" t="s">
        <v>258</v>
      </c>
      <c r="C102" s="237">
        <f>E16</f>
        <v>0.2</v>
      </c>
      <c r="D102" s="255">
        <f>G16</f>
        <v>0.27999999999999997</v>
      </c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5"/>
      <c r="S102" s="85"/>
    </row>
    <row r="103" spans="1:19" ht="12.75" customHeight="1" x14ac:dyDescent="0.35">
      <c r="A103" s="85"/>
      <c r="B103" s="256" t="s">
        <v>366</v>
      </c>
      <c r="C103" s="274"/>
      <c r="D103" s="257">
        <f>H16</f>
        <v>0.72</v>
      </c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5"/>
      <c r="S103" s="85"/>
    </row>
    <row r="104" spans="1:19" ht="12.75" customHeight="1" x14ac:dyDescent="0.35">
      <c r="A104" s="85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5"/>
      <c r="S104" s="85"/>
    </row>
    <row r="105" spans="1:19" ht="12.75" customHeight="1" x14ac:dyDescent="0.35">
      <c r="A105" s="85"/>
      <c r="B105" s="262" t="s">
        <v>373</v>
      </c>
      <c r="C105" s="263">
        <f>D102</f>
        <v>0.27999999999999997</v>
      </c>
      <c r="D105" s="262"/>
      <c r="E105" s="265">
        <f t="shared" ref="E105:E107" si="59">SUM(F105:Q105)</f>
        <v>0</v>
      </c>
      <c r="F105" s="265">
        <f t="shared" ref="F105:Q105" si="60">F95*$D$102</f>
        <v>0</v>
      </c>
      <c r="G105" s="265">
        <f t="shared" si="60"/>
        <v>0</v>
      </c>
      <c r="H105" s="265">
        <f t="shared" si="60"/>
        <v>0</v>
      </c>
      <c r="I105" s="265">
        <f t="shared" si="60"/>
        <v>0</v>
      </c>
      <c r="J105" s="265">
        <f t="shared" si="60"/>
        <v>0</v>
      </c>
      <c r="K105" s="265">
        <f t="shared" si="60"/>
        <v>0</v>
      </c>
      <c r="L105" s="265">
        <f t="shared" si="60"/>
        <v>0</v>
      </c>
      <c r="M105" s="265">
        <f t="shared" si="60"/>
        <v>0</v>
      </c>
      <c r="N105" s="265">
        <f t="shared" si="60"/>
        <v>0</v>
      </c>
      <c r="O105" s="265">
        <f t="shared" si="60"/>
        <v>0</v>
      </c>
      <c r="P105" s="265">
        <f t="shared" si="60"/>
        <v>0</v>
      </c>
      <c r="Q105" s="265">
        <f t="shared" si="60"/>
        <v>0</v>
      </c>
      <c r="R105" s="85"/>
      <c r="S105" s="85"/>
    </row>
    <row r="106" spans="1:19" ht="12.75" customHeight="1" x14ac:dyDescent="0.35">
      <c r="A106" s="85"/>
      <c r="B106" s="266" t="s">
        <v>374</v>
      </c>
      <c r="C106" s="267">
        <f>D103-C107</f>
        <v>0.12</v>
      </c>
      <c r="D106" s="266"/>
      <c r="E106" s="268">
        <f t="shared" si="59"/>
        <v>0</v>
      </c>
      <c r="F106" s="268">
        <f t="shared" ref="F106:Q106" si="61">F95*$C$106</f>
        <v>0</v>
      </c>
      <c r="G106" s="268">
        <f t="shared" si="61"/>
        <v>0</v>
      </c>
      <c r="H106" s="268">
        <f t="shared" si="61"/>
        <v>0</v>
      </c>
      <c r="I106" s="268">
        <f t="shared" si="61"/>
        <v>0</v>
      </c>
      <c r="J106" s="268">
        <f t="shared" si="61"/>
        <v>0</v>
      </c>
      <c r="K106" s="268">
        <f t="shared" si="61"/>
        <v>0</v>
      </c>
      <c r="L106" s="268">
        <f t="shared" si="61"/>
        <v>0</v>
      </c>
      <c r="M106" s="268">
        <f t="shared" si="61"/>
        <v>0</v>
      </c>
      <c r="N106" s="268">
        <f t="shared" si="61"/>
        <v>0</v>
      </c>
      <c r="O106" s="268">
        <f t="shared" si="61"/>
        <v>0</v>
      </c>
      <c r="P106" s="268">
        <f t="shared" si="61"/>
        <v>0</v>
      </c>
      <c r="Q106" s="268">
        <f t="shared" si="61"/>
        <v>0</v>
      </c>
      <c r="R106" s="85"/>
      <c r="S106" s="85"/>
    </row>
    <row r="107" spans="1:19" ht="12.75" customHeight="1" x14ac:dyDescent="0.35">
      <c r="A107" s="85"/>
      <c r="B107" s="269" t="s">
        <v>375</v>
      </c>
      <c r="C107" s="270">
        <f>F16</f>
        <v>0.6</v>
      </c>
      <c r="D107" s="269"/>
      <c r="E107" s="271">
        <f t="shared" si="59"/>
        <v>0</v>
      </c>
      <c r="F107" s="271">
        <f t="shared" ref="F107:Q107" si="62">F95*$C$107</f>
        <v>0</v>
      </c>
      <c r="G107" s="271">
        <f t="shared" si="62"/>
        <v>0</v>
      </c>
      <c r="H107" s="271">
        <f t="shared" si="62"/>
        <v>0</v>
      </c>
      <c r="I107" s="271">
        <f t="shared" si="62"/>
        <v>0</v>
      </c>
      <c r="J107" s="271">
        <f t="shared" si="62"/>
        <v>0</v>
      </c>
      <c r="K107" s="271">
        <f t="shared" si="62"/>
        <v>0</v>
      </c>
      <c r="L107" s="271">
        <f t="shared" si="62"/>
        <v>0</v>
      </c>
      <c r="M107" s="271">
        <f t="shared" si="62"/>
        <v>0</v>
      </c>
      <c r="N107" s="271">
        <f t="shared" si="62"/>
        <v>0</v>
      </c>
      <c r="O107" s="271">
        <f t="shared" si="62"/>
        <v>0</v>
      </c>
      <c r="P107" s="271">
        <f t="shared" si="62"/>
        <v>0</v>
      </c>
      <c r="Q107" s="271">
        <f t="shared" si="62"/>
        <v>0</v>
      </c>
      <c r="R107" s="85"/>
      <c r="S107" s="85"/>
    </row>
    <row r="108" spans="1:19" ht="12.75" customHeight="1" x14ac:dyDescent="0.35">
      <c r="A108" s="85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5"/>
      <c r="S108" s="85"/>
    </row>
    <row r="109" spans="1:19" ht="12.75" hidden="1" customHeight="1" outlineLevel="1" x14ac:dyDescent="0.35">
      <c r="A109" s="85"/>
      <c r="B109" s="8"/>
      <c r="C109" s="8"/>
      <c r="D109" s="8"/>
      <c r="E109" s="8"/>
      <c r="F109" s="232">
        <f t="shared" ref="F109:Q109" si="63">ROUNDUP(F110/12,0)</f>
        <v>0</v>
      </c>
      <c r="G109" s="232">
        <f t="shared" si="63"/>
        <v>1</v>
      </c>
      <c r="H109" s="232">
        <f t="shared" si="63"/>
        <v>2</v>
      </c>
      <c r="I109" s="232">
        <f t="shared" si="63"/>
        <v>3</v>
      </c>
      <c r="J109" s="232">
        <f t="shared" si="63"/>
        <v>4</v>
      </c>
      <c r="K109" s="232">
        <f t="shared" si="63"/>
        <v>5</v>
      </c>
      <c r="L109" s="232">
        <f t="shared" si="63"/>
        <v>6</v>
      </c>
      <c r="M109" s="232">
        <f t="shared" si="63"/>
        <v>7</v>
      </c>
      <c r="N109" s="232">
        <f t="shared" si="63"/>
        <v>8</v>
      </c>
      <c r="O109" s="232">
        <f t="shared" si="63"/>
        <v>9</v>
      </c>
      <c r="P109" s="232">
        <f t="shared" si="63"/>
        <v>10</v>
      </c>
      <c r="Q109" s="232">
        <f t="shared" si="63"/>
        <v>11</v>
      </c>
      <c r="R109" s="85"/>
      <c r="S109" s="85"/>
    </row>
    <row r="110" spans="1:19" ht="12.75" hidden="1" customHeight="1" outlineLevel="1" x14ac:dyDescent="0.35">
      <c r="A110" s="85"/>
      <c r="B110" s="233"/>
      <c r="C110" s="234"/>
      <c r="D110" s="234"/>
      <c r="E110" s="234"/>
      <c r="F110" s="235">
        <f t="shared" ref="F110:Q110" si="64">F19</f>
        <v>0</v>
      </c>
      <c r="G110" s="235">
        <f t="shared" si="64"/>
        <v>12</v>
      </c>
      <c r="H110" s="235">
        <f t="shared" si="64"/>
        <v>24</v>
      </c>
      <c r="I110" s="235">
        <f t="shared" si="64"/>
        <v>36</v>
      </c>
      <c r="J110" s="235">
        <f t="shared" si="64"/>
        <v>48</v>
      </c>
      <c r="K110" s="235">
        <f t="shared" si="64"/>
        <v>60</v>
      </c>
      <c r="L110" s="235">
        <f t="shared" si="64"/>
        <v>72</v>
      </c>
      <c r="M110" s="235">
        <f t="shared" si="64"/>
        <v>84</v>
      </c>
      <c r="N110" s="235">
        <f t="shared" si="64"/>
        <v>96</v>
      </c>
      <c r="O110" s="235">
        <f t="shared" si="64"/>
        <v>108</v>
      </c>
      <c r="P110" s="235">
        <f t="shared" si="64"/>
        <v>120</v>
      </c>
      <c r="Q110" s="235">
        <f t="shared" si="64"/>
        <v>132</v>
      </c>
      <c r="R110" s="85"/>
      <c r="S110" s="85"/>
    </row>
    <row r="111" spans="1:19" ht="12.75" hidden="1" customHeight="1" outlineLevel="1" x14ac:dyDescent="0.35">
      <c r="A111" s="85"/>
      <c r="B111" s="279" t="s">
        <v>386</v>
      </c>
      <c r="C111" s="234"/>
      <c r="D111" s="234"/>
      <c r="E111" s="234"/>
      <c r="F111" s="236">
        <f t="shared" ref="F111:Q111" si="65">F20</f>
        <v>45488</v>
      </c>
      <c r="G111" s="236">
        <f t="shared" si="65"/>
        <v>45869</v>
      </c>
      <c r="H111" s="236">
        <f t="shared" si="65"/>
        <v>46234</v>
      </c>
      <c r="I111" s="236">
        <f t="shared" si="65"/>
        <v>46599</v>
      </c>
      <c r="J111" s="236">
        <f t="shared" si="65"/>
        <v>46965</v>
      </c>
      <c r="K111" s="236">
        <f t="shared" si="65"/>
        <v>47330</v>
      </c>
      <c r="L111" s="236">
        <f t="shared" si="65"/>
        <v>47695</v>
      </c>
      <c r="M111" s="236">
        <f t="shared" si="65"/>
        <v>48060</v>
      </c>
      <c r="N111" s="236">
        <f t="shared" si="65"/>
        <v>48426</v>
      </c>
      <c r="O111" s="236">
        <f t="shared" si="65"/>
        <v>48791</v>
      </c>
      <c r="P111" s="236">
        <f t="shared" si="65"/>
        <v>49156</v>
      </c>
      <c r="Q111" s="236">
        <f t="shared" si="65"/>
        <v>49521</v>
      </c>
      <c r="R111" s="85"/>
      <c r="S111" s="85"/>
    </row>
    <row r="112" spans="1:19" ht="12.75" customHeight="1" collapsed="1" x14ac:dyDescent="0.35">
      <c r="A112" s="85"/>
      <c r="B112" s="250" t="s">
        <v>386</v>
      </c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5"/>
      <c r="S112" s="85"/>
    </row>
    <row r="113" spans="1:19" ht="12.75" customHeight="1" x14ac:dyDescent="0.35">
      <c r="A113" s="8"/>
      <c r="B113" s="17" t="s">
        <v>387</v>
      </c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5"/>
      <c r="S113" s="85"/>
    </row>
    <row r="114" spans="1:19" ht="12.75" customHeight="1" x14ac:dyDescent="0.35">
      <c r="A114" s="8"/>
      <c r="B114" s="244" t="s">
        <v>253</v>
      </c>
      <c r="C114" s="245" t="e">
        <f>IRR(F114:Q114)</f>
        <v>#NUM!</v>
      </c>
      <c r="D114" s="8"/>
      <c r="E114" s="8"/>
      <c r="F114" s="238">
        <f t="shared" ref="F114:Q114" si="66">F26</f>
        <v>-19130813.021031547</v>
      </c>
      <c r="G114" s="238">
        <f t="shared" si="66"/>
        <v>0</v>
      </c>
      <c r="H114" s="238">
        <f t="shared" si="66"/>
        <v>0</v>
      </c>
      <c r="I114" s="238">
        <f t="shared" si="66"/>
        <v>0</v>
      </c>
      <c r="J114" s="238">
        <f t="shared" si="66"/>
        <v>0</v>
      </c>
      <c r="K114" s="238">
        <f t="shared" si="66"/>
        <v>0</v>
      </c>
      <c r="L114" s="238">
        <f t="shared" si="66"/>
        <v>0</v>
      </c>
      <c r="M114" s="238">
        <f t="shared" si="66"/>
        <v>0</v>
      </c>
      <c r="N114" s="238">
        <f t="shared" si="66"/>
        <v>0</v>
      </c>
      <c r="O114" s="238">
        <f t="shared" si="66"/>
        <v>0</v>
      </c>
      <c r="P114" s="238">
        <f t="shared" si="66"/>
        <v>0</v>
      </c>
      <c r="Q114" s="238">
        <f t="shared" si="66"/>
        <v>0</v>
      </c>
      <c r="R114" s="85"/>
      <c r="S114" s="85"/>
    </row>
    <row r="115" spans="1:19" ht="12.75" customHeight="1" x14ac:dyDescent="0.35">
      <c r="A115" s="8"/>
      <c r="B115" s="280" t="s">
        <v>388</v>
      </c>
      <c r="C115" s="449">
        <f>SUM(F114:Q114)</f>
        <v>-19130813.021031547</v>
      </c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5"/>
      <c r="S115" s="85"/>
    </row>
    <row r="116" spans="1:19" ht="12.75" customHeight="1" x14ac:dyDescent="0.35">
      <c r="A116" s="8"/>
      <c r="B116" s="280" t="s">
        <v>389</v>
      </c>
      <c r="C116" s="449">
        <f>-SUMIF(F114:Q114,"&lt;0",F114:Q114)</f>
        <v>19130813.021031547</v>
      </c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5"/>
      <c r="S116" s="85"/>
    </row>
    <row r="117" spans="1:19" ht="12.75" customHeight="1" x14ac:dyDescent="0.35">
      <c r="A117" s="8"/>
      <c r="B117" s="248" t="s">
        <v>342</v>
      </c>
      <c r="C117" s="249">
        <f>(C116+C115)/C116</f>
        <v>0</v>
      </c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5"/>
      <c r="S117" s="85"/>
    </row>
    <row r="118" spans="1:19" ht="12.75" customHeight="1" x14ac:dyDescent="0.3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5"/>
      <c r="S118" s="85"/>
    </row>
    <row r="119" spans="1:19" ht="12.75" customHeight="1" x14ac:dyDescent="0.3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5"/>
      <c r="S119" s="85"/>
    </row>
    <row r="120" spans="1:19" ht="12.75" customHeight="1" x14ac:dyDescent="0.35">
      <c r="A120" s="8"/>
      <c r="B120" s="17" t="s">
        <v>373</v>
      </c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5"/>
      <c r="S120" s="85"/>
    </row>
    <row r="121" spans="1:19" ht="12.75" customHeight="1" x14ac:dyDescent="0.35">
      <c r="A121" s="8"/>
      <c r="B121" s="244" t="s">
        <v>253</v>
      </c>
      <c r="C121" s="245" t="e">
        <f>IRR(F121:Q121)</f>
        <v>#NUM!</v>
      </c>
      <c r="D121" s="8"/>
      <c r="E121" s="8"/>
      <c r="F121" s="238">
        <f t="shared" ref="F121:Q121" si="67">F105+F91+F69+F48</f>
        <v>-13391569.114722084</v>
      </c>
      <c r="G121" s="238">
        <f t="shared" si="67"/>
        <v>0</v>
      </c>
      <c r="H121" s="238">
        <f t="shared" si="67"/>
        <v>0</v>
      </c>
      <c r="I121" s="238">
        <f t="shared" si="67"/>
        <v>0</v>
      </c>
      <c r="J121" s="238">
        <f t="shared" si="67"/>
        <v>0</v>
      </c>
      <c r="K121" s="238">
        <f t="shared" si="67"/>
        <v>0</v>
      </c>
      <c r="L121" s="238">
        <f t="shared" si="67"/>
        <v>0</v>
      </c>
      <c r="M121" s="238">
        <f t="shared" si="67"/>
        <v>0</v>
      </c>
      <c r="N121" s="238">
        <f t="shared" si="67"/>
        <v>0</v>
      </c>
      <c r="O121" s="238">
        <f t="shared" si="67"/>
        <v>0</v>
      </c>
      <c r="P121" s="238">
        <f t="shared" si="67"/>
        <v>0</v>
      </c>
      <c r="Q121" s="238">
        <f t="shared" si="67"/>
        <v>0</v>
      </c>
      <c r="R121" s="85"/>
      <c r="S121" s="85"/>
    </row>
    <row r="122" spans="1:19" ht="12.75" customHeight="1" x14ac:dyDescent="0.35">
      <c r="A122" s="8"/>
      <c r="B122" s="280" t="s">
        <v>388</v>
      </c>
      <c r="C122" s="449">
        <f>SUM(F121:Q121)</f>
        <v>-13391569.114722084</v>
      </c>
      <c r="D122" s="8"/>
    </row>
    <row r="123" spans="1:19" ht="12.75" customHeight="1" x14ac:dyDescent="0.35">
      <c r="A123" s="8"/>
      <c r="B123" s="280" t="s">
        <v>389</v>
      </c>
      <c r="C123" s="449">
        <f>-SUMIF(F121:Q121,"&lt;0",F121:Q121)</f>
        <v>13391569.114722084</v>
      </c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5"/>
      <c r="S123" s="281"/>
    </row>
    <row r="124" spans="1:19" ht="12.75" customHeight="1" x14ac:dyDescent="0.35">
      <c r="A124" s="8"/>
      <c r="B124" s="248" t="s">
        <v>342</v>
      </c>
      <c r="C124" s="249">
        <f>(C123+C122)/C123</f>
        <v>0</v>
      </c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5"/>
      <c r="S124" s="85"/>
    </row>
    <row r="125" spans="1:19" ht="12.75" customHeight="1" x14ac:dyDescent="0.3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5"/>
      <c r="S125" s="85"/>
    </row>
    <row r="126" spans="1:19" ht="12.75" customHeight="1" x14ac:dyDescent="0.3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5"/>
      <c r="S126" s="85"/>
    </row>
    <row r="127" spans="1:19" ht="12.75" customHeight="1" x14ac:dyDescent="0.35">
      <c r="A127" s="8"/>
      <c r="B127" s="17" t="s">
        <v>390</v>
      </c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5"/>
      <c r="S127" s="85"/>
    </row>
    <row r="128" spans="1:19" ht="12.75" hidden="1" customHeight="1" outlineLevel="1" x14ac:dyDescent="0.35">
      <c r="A128" s="8"/>
      <c r="B128" s="282" t="s">
        <v>372</v>
      </c>
      <c r="C128" s="283">
        <f t="shared" ref="C128:C129" si="68">SUM(F128:Q128)</f>
        <v>-5739243.906309464</v>
      </c>
      <c r="D128" s="8"/>
      <c r="E128" s="8"/>
      <c r="F128" s="238">
        <f t="shared" ref="F128:Q128" si="69">-F23</f>
        <v>-5739243.906309464</v>
      </c>
      <c r="G128" s="238">
        <f t="shared" si="69"/>
        <v>0</v>
      </c>
      <c r="H128" s="238">
        <f t="shared" si="69"/>
        <v>0</v>
      </c>
      <c r="I128" s="238">
        <f t="shared" si="69"/>
        <v>0</v>
      </c>
      <c r="J128" s="238">
        <f t="shared" si="69"/>
        <v>0</v>
      </c>
      <c r="K128" s="238">
        <f t="shared" si="69"/>
        <v>0</v>
      </c>
      <c r="L128" s="238">
        <f t="shared" si="69"/>
        <v>0</v>
      </c>
      <c r="M128" s="238">
        <f t="shared" si="69"/>
        <v>0</v>
      </c>
      <c r="N128" s="238">
        <f t="shared" si="69"/>
        <v>0</v>
      </c>
      <c r="O128" s="238">
        <f t="shared" si="69"/>
        <v>0</v>
      </c>
      <c r="P128" s="238">
        <f t="shared" si="69"/>
        <v>0</v>
      </c>
      <c r="Q128" s="238">
        <f t="shared" si="69"/>
        <v>0</v>
      </c>
      <c r="R128" s="85"/>
      <c r="S128" s="85"/>
    </row>
    <row r="129" spans="1:19" ht="12.75" hidden="1" customHeight="1" outlineLevel="1" x14ac:dyDescent="0.35">
      <c r="A129" s="8"/>
      <c r="B129" s="284" t="s">
        <v>374</v>
      </c>
      <c r="C129" s="285">
        <f t="shared" si="68"/>
        <v>0</v>
      </c>
      <c r="D129" s="8"/>
      <c r="E129" s="8"/>
      <c r="F129" s="238">
        <f t="shared" ref="F129:Q129" si="70">(F106-F128)+F92+F70+F49</f>
        <v>0</v>
      </c>
      <c r="G129" s="238">
        <f t="shared" si="70"/>
        <v>0</v>
      </c>
      <c r="H129" s="238">
        <f t="shared" si="70"/>
        <v>0</v>
      </c>
      <c r="I129" s="238">
        <f t="shared" si="70"/>
        <v>0</v>
      </c>
      <c r="J129" s="238">
        <f t="shared" si="70"/>
        <v>0</v>
      </c>
      <c r="K129" s="238">
        <f t="shared" si="70"/>
        <v>0</v>
      </c>
      <c r="L129" s="238">
        <f t="shared" si="70"/>
        <v>0</v>
      </c>
      <c r="M129" s="238">
        <f t="shared" si="70"/>
        <v>0</v>
      </c>
      <c r="N129" s="238">
        <f t="shared" si="70"/>
        <v>0</v>
      </c>
      <c r="O129" s="238">
        <f t="shared" si="70"/>
        <v>0</v>
      </c>
      <c r="P129" s="238">
        <f t="shared" si="70"/>
        <v>0</v>
      </c>
      <c r="Q129" s="238">
        <f t="shared" si="70"/>
        <v>0</v>
      </c>
      <c r="R129" s="85"/>
      <c r="S129" s="85"/>
    </row>
    <row r="130" spans="1:19" ht="12.75" hidden="1" customHeight="1" outlineLevel="1" x14ac:dyDescent="0.35">
      <c r="A130" s="8"/>
      <c r="B130" s="286" t="s">
        <v>388</v>
      </c>
      <c r="C130" s="287">
        <f>SUM(C128:C129)</f>
        <v>-5739243.906309464</v>
      </c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5"/>
      <c r="S130" s="85"/>
    </row>
    <row r="131" spans="1:19" ht="12.75" hidden="1" customHeight="1" outlineLevel="1" x14ac:dyDescent="0.3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5"/>
      <c r="S131" s="85"/>
    </row>
    <row r="132" spans="1:19" ht="12.75" customHeight="1" collapsed="1" x14ac:dyDescent="0.35">
      <c r="A132" s="8"/>
      <c r="B132" s="244" t="s">
        <v>253</v>
      </c>
      <c r="C132" s="245" t="str">
        <f>IFERROR(IRR(F132:Q132),"n/a")</f>
        <v>n/a</v>
      </c>
      <c r="D132" s="8"/>
      <c r="E132" s="8"/>
      <c r="F132" s="288">
        <f t="shared" ref="F132:Q132" si="71">SUM(F128:F129)</f>
        <v>-5739243.906309464</v>
      </c>
      <c r="G132" s="288">
        <f t="shared" si="71"/>
        <v>0</v>
      </c>
      <c r="H132" s="288">
        <f t="shared" si="71"/>
        <v>0</v>
      </c>
      <c r="I132" s="288">
        <f t="shared" si="71"/>
        <v>0</v>
      </c>
      <c r="J132" s="288">
        <f t="shared" si="71"/>
        <v>0</v>
      </c>
      <c r="K132" s="288">
        <f t="shared" si="71"/>
        <v>0</v>
      </c>
      <c r="L132" s="288">
        <f t="shared" si="71"/>
        <v>0</v>
      </c>
      <c r="M132" s="288">
        <f t="shared" si="71"/>
        <v>0</v>
      </c>
      <c r="N132" s="288">
        <f t="shared" si="71"/>
        <v>0</v>
      </c>
      <c r="O132" s="288">
        <f t="shared" si="71"/>
        <v>0</v>
      </c>
      <c r="P132" s="288">
        <f t="shared" si="71"/>
        <v>0</v>
      </c>
      <c r="Q132" s="288">
        <f t="shared" si="71"/>
        <v>0</v>
      </c>
      <c r="R132" s="85"/>
      <c r="S132" s="85"/>
    </row>
    <row r="133" spans="1:19" ht="12.75" customHeight="1" x14ac:dyDescent="0.35">
      <c r="A133" s="8"/>
      <c r="B133" s="280" t="s">
        <v>388</v>
      </c>
      <c r="C133" s="449">
        <f>C130</f>
        <v>-5739243.906309464</v>
      </c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5"/>
      <c r="S133" s="85"/>
    </row>
    <row r="134" spans="1:19" ht="12.75" customHeight="1" x14ac:dyDescent="0.35">
      <c r="A134" s="8"/>
      <c r="B134" s="280" t="s">
        <v>389</v>
      </c>
      <c r="C134" s="449">
        <f>-SUMIF(F132:Q132,"&lt;0",F132:Q132)</f>
        <v>5739243.906309464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5"/>
      <c r="S134" s="85"/>
    </row>
    <row r="135" spans="1:19" ht="12.75" customHeight="1" x14ac:dyDescent="0.35">
      <c r="A135" s="8"/>
      <c r="B135" s="248" t="s">
        <v>342</v>
      </c>
      <c r="C135" s="249">
        <f>IFERROR((C134+C133)/C134,"n/a")</f>
        <v>0</v>
      </c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5"/>
      <c r="S135" s="85"/>
    </row>
    <row r="136" spans="1:19" ht="12.75" customHeight="1" x14ac:dyDescent="0.3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5"/>
      <c r="S136" s="85"/>
    </row>
    <row r="137" spans="1:19" ht="12.75" customHeight="1" x14ac:dyDescent="0.3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5"/>
      <c r="S137" s="85"/>
    </row>
    <row r="138" spans="1:19" ht="12.75" customHeight="1" x14ac:dyDescent="0.35">
      <c r="A138" s="8"/>
      <c r="B138" s="17" t="s">
        <v>375</v>
      </c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5"/>
      <c r="S138" s="85"/>
    </row>
    <row r="139" spans="1:19" ht="12.75" customHeight="1" x14ac:dyDescent="0.35">
      <c r="A139" s="8"/>
      <c r="B139" s="244" t="s">
        <v>253</v>
      </c>
      <c r="C139" s="245" t="str">
        <f>IFERROR(IRR(F139:Q139),"n/a")</f>
        <v>n/a</v>
      </c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5"/>
      <c r="S139" s="85"/>
    </row>
    <row r="140" spans="1:19" ht="12.75" customHeight="1" x14ac:dyDescent="0.35">
      <c r="A140" s="8"/>
      <c r="B140" s="280" t="s">
        <v>388</v>
      </c>
      <c r="C140" s="289">
        <f>SUM(F140:Q140)</f>
        <v>0</v>
      </c>
      <c r="D140" s="8"/>
      <c r="E140" s="8"/>
      <c r="F140" s="260">
        <f t="shared" ref="F140:Q140" si="72">F107+F93+F71+F50</f>
        <v>0</v>
      </c>
      <c r="G140" s="260">
        <f t="shared" si="72"/>
        <v>0</v>
      </c>
      <c r="H140" s="260">
        <f t="shared" si="72"/>
        <v>0</v>
      </c>
      <c r="I140" s="260">
        <f t="shared" si="72"/>
        <v>0</v>
      </c>
      <c r="J140" s="260">
        <f t="shared" si="72"/>
        <v>0</v>
      </c>
      <c r="K140" s="260">
        <f t="shared" si="72"/>
        <v>0</v>
      </c>
      <c r="L140" s="260">
        <f t="shared" si="72"/>
        <v>0</v>
      </c>
      <c r="M140" s="260">
        <f t="shared" si="72"/>
        <v>0</v>
      </c>
      <c r="N140" s="260">
        <f t="shared" si="72"/>
        <v>0</v>
      </c>
      <c r="O140" s="260">
        <f t="shared" si="72"/>
        <v>0</v>
      </c>
      <c r="P140" s="260">
        <f t="shared" si="72"/>
        <v>0</v>
      </c>
      <c r="Q140" s="260">
        <f t="shared" si="72"/>
        <v>0</v>
      </c>
      <c r="R140" s="85"/>
      <c r="S140" s="85"/>
    </row>
    <row r="141" spans="1:19" ht="12.75" customHeight="1" x14ac:dyDescent="0.35">
      <c r="A141" s="8"/>
      <c r="B141" s="280" t="s">
        <v>389</v>
      </c>
      <c r="C141" s="289" t="s">
        <v>261</v>
      </c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5"/>
      <c r="S141" s="85"/>
    </row>
    <row r="142" spans="1:19" ht="12.75" customHeight="1" x14ac:dyDescent="0.35">
      <c r="A142" s="8"/>
      <c r="B142" s="248" t="s">
        <v>342</v>
      </c>
      <c r="C142" s="249" t="s">
        <v>261</v>
      </c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5"/>
      <c r="S142" s="85"/>
    </row>
    <row r="143" spans="1:19" ht="12.75" customHeight="1" x14ac:dyDescent="0.3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5"/>
      <c r="S143" s="85"/>
    </row>
    <row r="144" spans="1:19" ht="12.75" customHeight="1" x14ac:dyDescent="0.3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5"/>
      <c r="S144" s="85"/>
    </row>
    <row r="145" spans="1:19" ht="12.75" customHeight="1" x14ac:dyDescent="0.35">
      <c r="A145" s="8"/>
      <c r="B145" s="17" t="s">
        <v>391</v>
      </c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5"/>
      <c r="S145" s="85"/>
    </row>
    <row r="146" spans="1:19" ht="12.75" customHeight="1" x14ac:dyDescent="0.35">
      <c r="A146" s="8"/>
      <c r="B146" s="244" t="s">
        <v>253</v>
      </c>
      <c r="C146" s="245" t="str">
        <f>IFERROR(IRR(F146:Q146),"n/a")</f>
        <v>n/a</v>
      </c>
      <c r="D146" s="8"/>
      <c r="E146" s="8"/>
      <c r="F146" s="238">
        <f t="shared" ref="F146:Q146" si="73">F132+F140</f>
        <v>-5739243.906309464</v>
      </c>
      <c r="G146" s="238">
        <f t="shared" si="73"/>
        <v>0</v>
      </c>
      <c r="H146" s="238">
        <f t="shared" si="73"/>
        <v>0</v>
      </c>
      <c r="I146" s="238">
        <f t="shared" si="73"/>
        <v>0</v>
      </c>
      <c r="J146" s="238">
        <f t="shared" si="73"/>
        <v>0</v>
      </c>
      <c r="K146" s="238">
        <f t="shared" si="73"/>
        <v>0</v>
      </c>
      <c r="L146" s="238">
        <f t="shared" si="73"/>
        <v>0</v>
      </c>
      <c r="M146" s="238">
        <f t="shared" si="73"/>
        <v>0</v>
      </c>
      <c r="N146" s="238">
        <f t="shared" si="73"/>
        <v>0</v>
      </c>
      <c r="O146" s="238">
        <f t="shared" si="73"/>
        <v>0</v>
      </c>
      <c r="P146" s="238">
        <f t="shared" si="73"/>
        <v>0</v>
      </c>
      <c r="Q146" s="238">
        <f t="shared" si="73"/>
        <v>0</v>
      </c>
      <c r="R146" s="85"/>
      <c r="S146" s="85"/>
    </row>
    <row r="147" spans="1:19" ht="12.75" customHeight="1" x14ac:dyDescent="0.35">
      <c r="A147" s="8"/>
      <c r="B147" s="280" t="s">
        <v>388</v>
      </c>
      <c r="C147" s="449">
        <f>SUM(F146:Q146)</f>
        <v>-5739243.906309464</v>
      </c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5"/>
      <c r="S147" s="85"/>
    </row>
    <row r="148" spans="1:19" ht="12.75" customHeight="1" x14ac:dyDescent="0.35">
      <c r="A148" s="8"/>
      <c r="B148" s="280" t="s">
        <v>389</v>
      </c>
      <c r="C148" s="449">
        <f>-SUMIF(F146:Q146,"&lt;0",F146:Q146)</f>
        <v>5739243.906309464</v>
      </c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5"/>
      <c r="S148" s="85"/>
    </row>
    <row r="149" spans="1:19" ht="12.75" customHeight="1" x14ac:dyDescent="0.35">
      <c r="A149" s="8"/>
      <c r="B149" s="248" t="s">
        <v>342</v>
      </c>
      <c r="C149" s="249">
        <f>IFERROR((C148+C147)/C148,"n/a")</f>
        <v>0</v>
      </c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5"/>
      <c r="S149" s="85"/>
    </row>
    <row r="150" spans="1:19" ht="12.75" customHeight="1" x14ac:dyDescent="0.35">
      <c r="A150" s="8"/>
      <c r="B150" s="8"/>
      <c r="C150" s="290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5"/>
      <c r="S150" s="85"/>
    </row>
    <row r="151" spans="1:19" ht="12.75" customHeight="1" x14ac:dyDescent="0.35">
      <c r="A151" s="8"/>
      <c r="B151" s="8"/>
      <c r="C151" s="290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5"/>
      <c r="S151" s="85"/>
    </row>
    <row r="152" spans="1:19" ht="12.75" customHeight="1" x14ac:dyDescent="0.35">
      <c r="A152" s="8"/>
      <c r="B152" s="291" t="s">
        <v>392</v>
      </c>
      <c r="C152" s="292">
        <f>SUM(F26:Q26)-C122-C130-C140</f>
        <v>9.3132257461547852E-10</v>
      </c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5"/>
      <c r="S152" s="85"/>
    </row>
    <row r="153" spans="1:19" ht="12.75" customHeight="1" x14ac:dyDescent="0.3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5"/>
      <c r="S153" s="85"/>
    </row>
    <row r="154" spans="1:19" ht="12.75" customHeight="1" x14ac:dyDescent="0.3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5"/>
      <c r="S154" s="85"/>
    </row>
    <row r="155" spans="1:19" ht="12.75" customHeight="1" x14ac:dyDescent="0.3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5"/>
      <c r="S155" s="85"/>
    </row>
    <row r="156" spans="1:19" ht="12.75" customHeight="1" x14ac:dyDescent="0.3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5"/>
      <c r="S156" s="85"/>
    </row>
    <row r="157" spans="1:19" ht="12.75" customHeight="1" x14ac:dyDescent="0.3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5"/>
      <c r="S157" s="85"/>
    </row>
    <row r="158" spans="1:19" ht="12.75" customHeight="1" x14ac:dyDescent="0.3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5"/>
      <c r="S158" s="85"/>
    </row>
    <row r="159" spans="1:19" ht="12.75" customHeight="1" x14ac:dyDescent="0.3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5"/>
      <c r="S159" s="85"/>
    </row>
    <row r="160" spans="1:19" ht="12.75" customHeight="1" x14ac:dyDescent="0.3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5"/>
      <c r="S160" s="85"/>
    </row>
    <row r="161" spans="1:19" ht="12.75" customHeight="1" x14ac:dyDescent="0.3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5"/>
      <c r="S161" s="85"/>
    </row>
    <row r="162" spans="1:19" ht="12.75" customHeight="1" x14ac:dyDescent="0.3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5"/>
      <c r="S162" s="85"/>
    </row>
    <row r="163" spans="1:19" ht="12.75" customHeight="1" x14ac:dyDescent="0.3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5"/>
      <c r="S163" s="85"/>
    </row>
    <row r="164" spans="1:19" ht="12.75" customHeight="1" x14ac:dyDescent="0.3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5"/>
      <c r="S164" s="85"/>
    </row>
    <row r="165" spans="1:19" ht="12.75" customHeight="1" x14ac:dyDescent="0.3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5"/>
      <c r="S165" s="85"/>
    </row>
    <row r="166" spans="1:19" ht="12.75" customHeight="1" x14ac:dyDescent="0.3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5"/>
      <c r="S166" s="85"/>
    </row>
    <row r="167" spans="1:19" ht="12.75" customHeight="1" x14ac:dyDescent="0.3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5"/>
      <c r="S167" s="85"/>
    </row>
    <row r="168" spans="1:19" ht="12.75" customHeight="1" x14ac:dyDescent="0.3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5"/>
      <c r="S168" s="85"/>
    </row>
    <row r="169" spans="1:19" ht="12.75" customHeight="1" x14ac:dyDescent="0.3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5"/>
      <c r="S169" s="85"/>
    </row>
    <row r="170" spans="1:19" ht="12.75" customHeight="1" x14ac:dyDescent="0.3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5"/>
      <c r="S170" s="85"/>
    </row>
    <row r="171" spans="1:19" ht="12.75" customHeight="1" x14ac:dyDescent="0.3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5"/>
      <c r="S171" s="85"/>
    </row>
    <row r="172" spans="1:19" ht="12.75" customHeight="1" x14ac:dyDescent="0.3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5"/>
      <c r="S172" s="85"/>
    </row>
    <row r="173" spans="1:19" ht="12.75" customHeight="1" x14ac:dyDescent="0.3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5"/>
      <c r="S173" s="85"/>
    </row>
    <row r="174" spans="1:19" ht="12.75" customHeight="1" x14ac:dyDescent="0.3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5"/>
      <c r="S174" s="85"/>
    </row>
    <row r="175" spans="1:19" ht="12.75" customHeight="1" x14ac:dyDescent="0.3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5"/>
      <c r="S175" s="85"/>
    </row>
    <row r="176" spans="1:19" ht="12.75" customHeight="1" x14ac:dyDescent="0.3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5"/>
      <c r="S176" s="85"/>
    </row>
    <row r="177" spans="1:19" ht="12.75" customHeight="1" x14ac:dyDescent="0.3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5"/>
      <c r="S177" s="85"/>
    </row>
    <row r="178" spans="1:19" ht="12.75" customHeight="1" x14ac:dyDescent="0.3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5"/>
      <c r="S178" s="85"/>
    </row>
    <row r="179" spans="1:19" ht="12.75" customHeight="1" x14ac:dyDescent="0.3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5"/>
      <c r="S179" s="85"/>
    </row>
    <row r="180" spans="1:19" ht="12.75" customHeight="1" x14ac:dyDescent="0.3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5"/>
      <c r="S180" s="85"/>
    </row>
    <row r="181" spans="1:19" ht="12.75" customHeight="1" x14ac:dyDescent="0.3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5"/>
      <c r="S181" s="85"/>
    </row>
    <row r="182" spans="1:19" ht="12.75" customHeight="1" x14ac:dyDescent="0.3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5"/>
      <c r="S182" s="85"/>
    </row>
    <row r="183" spans="1:19" ht="12.75" customHeight="1" x14ac:dyDescent="0.3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5"/>
      <c r="S183" s="85"/>
    </row>
    <row r="184" spans="1:19" ht="12.75" customHeight="1" x14ac:dyDescent="0.3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5"/>
      <c r="S184" s="85"/>
    </row>
    <row r="185" spans="1:19" ht="12.75" customHeight="1" x14ac:dyDescent="0.3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5"/>
      <c r="S185" s="85"/>
    </row>
    <row r="186" spans="1:19" ht="12.75" customHeight="1" x14ac:dyDescent="0.3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5"/>
      <c r="S186" s="85"/>
    </row>
    <row r="187" spans="1:19" ht="12.75" customHeight="1" x14ac:dyDescent="0.3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5"/>
      <c r="S187" s="85"/>
    </row>
    <row r="188" spans="1:19" ht="12.75" customHeight="1" x14ac:dyDescent="0.3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5"/>
      <c r="S188" s="85"/>
    </row>
    <row r="189" spans="1:19" ht="12.75" customHeight="1" x14ac:dyDescent="0.3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5"/>
      <c r="S189" s="85"/>
    </row>
    <row r="190" spans="1:19" ht="12.75" customHeight="1" x14ac:dyDescent="0.3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5"/>
      <c r="S190" s="85"/>
    </row>
    <row r="191" spans="1:19" ht="12.75" customHeight="1" x14ac:dyDescent="0.3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5"/>
      <c r="S191" s="85"/>
    </row>
    <row r="192" spans="1:19" ht="12.75" customHeight="1" x14ac:dyDescent="0.3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5"/>
      <c r="S192" s="85"/>
    </row>
    <row r="193" spans="1:19" ht="12.75" customHeight="1" x14ac:dyDescent="0.3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5"/>
      <c r="S193" s="85"/>
    </row>
    <row r="194" spans="1:19" ht="12.75" customHeight="1" x14ac:dyDescent="0.3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5"/>
      <c r="S194" s="85"/>
    </row>
    <row r="195" spans="1:19" ht="12.75" customHeight="1" x14ac:dyDescent="0.3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5"/>
      <c r="S195" s="85"/>
    </row>
    <row r="196" spans="1:19" ht="12.75" customHeight="1" x14ac:dyDescent="0.3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5"/>
      <c r="S196" s="85"/>
    </row>
    <row r="197" spans="1:19" ht="12.75" customHeight="1" x14ac:dyDescent="0.3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5"/>
      <c r="S197" s="85"/>
    </row>
    <row r="198" spans="1:19" ht="12.75" customHeight="1" x14ac:dyDescent="0.3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5"/>
      <c r="S198" s="85"/>
    </row>
    <row r="199" spans="1:19" ht="12.75" customHeight="1" x14ac:dyDescent="0.3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5"/>
      <c r="S199" s="85"/>
    </row>
    <row r="200" spans="1:19" ht="12.75" customHeight="1" x14ac:dyDescent="0.3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5"/>
      <c r="S200" s="85"/>
    </row>
    <row r="201" spans="1:19" ht="12.75" customHeight="1" x14ac:dyDescent="0.3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5"/>
      <c r="S201" s="85"/>
    </row>
    <row r="202" spans="1:19" ht="12.75" customHeight="1" x14ac:dyDescent="0.3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5"/>
      <c r="S202" s="85"/>
    </row>
    <row r="203" spans="1:19" ht="12.75" customHeight="1" x14ac:dyDescent="0.3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5"/>
      <c r="S203" s="85"/>
    </row>
    <row r="204" spans="1:19" ht="12.75" customHeight="1" x14ac:dyDescent="0.3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5"/>
      <c r="S204" s="85"/>
    </row>
    <row r="205" spans="1:19" ht="12.75" customHeight="1" x14ac:dyDescent="0.3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5"/>
      <c r="S205" s="85"/>
    </row>
    <row r="206" spans="1:19" ht="12.75" customHeight="1" x14ac:dyDescent="0.3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5"/>
      <c r="S206" s="85"/>
    </row>
    <row r="207" spans="1:19" ht="12.75" customHeight="1" x14ac:dyDescent="0.3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5"/>
      <c r="S207" s="85"/>
    </row>
    <row r="208" spans="1:19" ht="12.75" customHeight="1" x14ac:dyDescent="0.3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5"/>
      <c r="S208" s="85"/>
    </row>
    <row r="209" spans="1:19" ht="12.75" customHeight="1" x14ac:dyDescent="0.3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5"/>
      <c r="S209" s="85"/>
    </row>
    <row r="210" spans="1:19" ht="12.75" customHeight="1" x14ac:dyDescent="0.3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5"/>
      <c r="S210" s="85"/>
    </row>
    <row r="211" spans="1:19" ht="12.75" customHeight="1" x14ac:dyDescent="0.3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5"/>
      <c r="S211" s="85"/>
    </row>
    <row r="212" spans="1:19" ht="12.75" customHeight="1" x14ac:dyDescent="0.3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5"/>
      <c r="S212" s="85"/>
    </row>
    <row r="213" spans="1:19" ht="12.75" customHeight="1" x14ac:dyDescent="0.3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5"/>
      <c r="S213" s="85"/>
    </row>
    <row r="214" spans="1:19" ht="12.75" customHeight="1" x14ac:dyDescent="0.3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5"/>
      <c r="S214" s="85"/>
    </row>
    <row r="215" spans="1:19" ht="12.75" customHeight="1" x14ac:dyDescent="0.3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5"/>
      <c r="S215" s="85"/>
    </row>
    <row r="216" spans="1:19" ht="12.75" customHeight="1" x14ac:dyDescent="0.3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5"/>
      <c r="S216" s="85"/>
    </row>
    <row r="217" spans="1:19" ht="12.75" customHeight="1" x14ac:dyDescent="0.3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5"/>
      <c r="S217" s="85"/>
    </row>
    <row r="218" spans="1:19" ht="12.75" customHeight="1" x14ac:dyDescent="0.3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5"/>
      <c r="S218" s="85"/>
    </row>
    <row r="219" spans="1:19" ht="12.75" customHeight="1" x14ac:dyDescent="0.3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5"/>
      <c r="S219" s="85"/>
    </row>
    <row r="220" spans="1:19" ht="12.75" customHeight="1" x14ac:dyDescent="0.3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5"/>
      <c r="S220" s="85"/>
    </row>
    <row r="221" spans="1:19" ht="12.75" customHeight="1" x14ac:dyDescent="0.3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5"/>
      <c r="S221" s="85"/>
    </row>
    <row r="222" spans="1:19" ht="12.75" customHeight="1" x14ac:dyDescent="0.3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5"/>
      <c r="S222" s="85"/>
    </row>
    <row r="223" spans="1:19" ht="12.75" customHeight="1" x14ac:dyDescent="0.3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5"/>
      <c r="S223" s="85"/>
    </row>
    <row r="224" spans="1:19" ht="12.75" customHeight="1" x14ac:dyDescent="0.3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5"/>
      <c r="S224" s="85"/>
    </row>
    <row r="225" spans="1:19" ht="12.75" customHeight="1" x14ac:dyDescent="0.3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5"/>
      <c r="S225" s="85"/>
    </row>
    <row r="226" spans="1:19" ht="12.75" customHeight="1" x14ac:dyDescent="0.3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5"/>
      <c r="S226" s="85"/>
    </row>
    <row r="227" spans="1:19" ht="12.75" customHeight="1" x14ac:dyDescent="0.3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5"/>
      <c r="S227" s="85"/>
    </row>
    <row r="228" spans="1:19" ht="12.75" customHeight="1" x14ac:dyDescent="0.3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5"/>
      <c r="S228" s="85"/>
    </row>
    <row r="229" spans="1:19" ht="12.75" customHeight="1" x14ac:dyDescent="0.3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5"/>
      <c r="S229" s="85"/>
    </row>
    <row r="230" spans="1:19" ht="12.75" customHeight="1" x14ac:dyDescent="0.3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5"/>
      <c r="S230" s="85"/>
    </row>
    <row r="231" spans="1:19" ht="12.75" customHeight="1" x14ac:dyDescent="0.3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5"/>
      <c r="S231" s="85"/>
    </row>
    <row r="232" spans="1:19" ht="12.75" customHeight="1" x14ac:dyDescent="0.3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5"/>
      <c r="S232" s="85"/>
    </row>
    <row r="233" spans="1:19" ht="12.75" customHeight="1" x14ac:dyDescent="0.3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5"/>
      <c r="S233" s="85"/>
    </row>
    <row r="234" spans="1:19" ht="12.75" customHeight="1" x14ac:dyDescent="0.3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5"/>
      <c r="S234" s="85"/>
    </row>
    <row r="235" spans="1:19" ht="12.75" customHeight="1" x14ac:dyDescent="0.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5"/>
      <c r="S235" s="85"/>
    </row>
    <row r="236" spans="1:19" ht="12.75" customHeight="1" x14ac:dyDescent="0.3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5"/>
      <c r="S236" s="85"/>
    </row>
    <row r="237" spans="1:19" ht="12.75" customHeight="1" x14ac:dyDescent="0.3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5"/>
      <c r="S237" s="85"/>
    </row>
    <row r="238" spans="1:19" ht="12.75" customHeight="1" x14ac:dyDescent="0.3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5"/>
      <c r="S238" s="85"/>
    </row>
    <row r="239" spans="1:19" ht="12.75" customHeight="1" x14ac:dyDescent="0.3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5"/>
      <c r="S239" s="85"/>
    </row>
    <row r="240" spans="1:19" ht="12.75" customHeight="1" x14ac:dyDescent="0.3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5"/>
      <c r="S240" s="85"/>
    </row>
    <row r="241" spans="1:19" ht="12.75" customHeight="1" x14ac:dyDescent="0.3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5"/>
      <c r="S241" s="85"/>
    </row>
    <row r="242" spans="1:19" ht="12.75" customHeight="1" x14ac:dyDescent="0.3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5"/>
      <c r="S242" s="85"/>
    </row>
    <row r="243" spans="1:19" ht="12.75" customHeight="1" x14ac:dyDescent="0.3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5"/>
      <c r="S243" s="85"/>
    </row>
    <row r="244" spans="1:19" ht="12.75" customHeight="1" x14ac:dyDescent="0.3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5"/>
      <c r="S244" s="85"/>
    </row>
    <row r="245" spans="1:19" ht="12.75" customHeight="1" x14ac:dyDescent="0.3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5"/>
      <c r="S245" s="85"/>
    </row>
    <row r="246" spans="1:19" ht="12.75" customHeight="1" x14ac:dyDescent="0.3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5"/>
      <c r="S246" s="85"/>
    </row>
    <row r="247" spans="1:19" ht="12.75" customHeight="1" x14ac:dyDescent="0.3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5"/>
      <c r="S247" s="85"/>
    </row>
    <row r="248" spans="1:19" ht="12.75" customHeight="1" x14ac:dyDescent="0.3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5"/>
      <c r="S248" s="85"/>
    </row>
    <row r="249" spans="1:19" ht="12.75" customHeight="1" x14ac:dyDescent="0.3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5"/>
      <c r="S249" s="85"/>
    </row>
    <row r="250" spans="1:19" ht="12.75" customHeight="1" x14ac:dyDescent="0.3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5"/>
      <c r="S250" s="85"/>
    </row>
    <row r="251" spans="1:19" ht="12.75" customHeight="1" x14ac:dyDescent="0.3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5"/>
      <c r="S251" s="85"/>
    </row>
    <row r="252" spans="1:19" ht="12.75" customHeight="1" x14ac:dyDescent="0.3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5"/>
      <c r="S252" s="85"/>
    </row>
    <row r="253" spans="1:19" ht="12.75" customHeight="1" x14ac:dyDescent="0.3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5"/>
      <c r="S253" s="85"/>
    </row>
    <row r="254" spans="1:19" ht="12.75" customHeight="1" x14ac:dyDescent="0.3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5"/>
      <c r="S254" s="85"/>
    </row>
    <row r="255" spans="1:19" ht="12.75" customHeight="1" x14ac:dyDescent="0.3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5"/>
      <c r="S255" s="85"/>
    </row>
    <row r="256" spans="1:19" ht="12.75" customHeight="1" x14ac:dyDescent="0.3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5"/>
      <c r="S256" s="85"/>
    </row>
    <row r="257" spans="1:19" ht="12.75" customHeight="1" x14ac:dyDescent="0.3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5"/>
      <c r="S257" s="85"/>
    </row>
    <row r="258" spans="1:19" ht="12.75" customHeight="1" x14ac:dyDescent="0.3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5"/>
      <c r="S258" s="85"/>
    </row>
    <row r="259" spans="1:19" ht="12.75" customHeight="1" x14ac:dyDescent="0.3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5"/>
      <c r="S259" s="85"/>
    </row>
    <row r="260" spans="1:19" ht="12.75" customHeight="1" x14ac:dyDescent="0.3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5"/>
      <c r="S260" s="85"/>
    </row>
    <row r="261" spans="1:19" ht="12.75" customHeight="1" x14ac:dyDescent="0.3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5"/>
      <c r="S261" s="85"/>
    </row>
    <row r="262" spans="1:19" ht="12.75" customHeight="1" x14ac:dyDescent="0.3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5"/>
      <c r="S262" s="85"/>
    </row>
    <row r="263" spans="1:19" ht="12.75" customHeight="1" x14ac:dyDescent="0.3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5"/>
      <c r="S263" s="85"/>
    </row>
    <row r="264" spans="1:19" ht="12.75" customHeight="1" x14ac:dyDescent="0.3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5"/>
      <c r="S264" s="85"/>
    </row>
    <row r="265" spans="1:19" ht="12.75" customHeight="1" x14ac:dyDescent="0.3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5"/>
      <c r="S265" s="85"/>
    </row>
    <row r="266" spans="1:19" ht="12.75" customHeight="1" x14ac:dyDescent="0.3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5"/>
      <c r="S266" s="85"/>
    </row>
    <row r="267" spans="1:19" ht="12.75" customHeight="1" x14ac:dyDescent="0.3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5"/>
      <c r="S267" s="85"/>
    </row>
    <row r="268" spans="1:19" ht="12.75" customHeight="1" x14ac:dyDescent="0.3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5"/>
      <c r="S268" s="85"/>
    </row>
    <row r="269" spans="1:19" ht="12.75" customHeight="1" x14ac:dyDescent="0.3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5"/>
      <c r="S269" s="85"/>
    </row>
    <row r="270" spans="1:19" ht="12.75" customHeight="1" x14ac:dyDescent="0.3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5"/>
      <c r="S270" s="85"/>
    </row>
    <row r="271" spans="1:19" ht="12.75" customHeight="1" x14ac:dyDescent="0.3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5"/>
      <c r="S271" s="85"/>
    </row>
    <row r="272" spans="1:19" ht="12.75" customHeight="1" x14ac:dyDescent="0.3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5"/>
      <c r="S272" s="85"/>
    </row>
    <row r="273" spans="1:19" ht="12.75" customHeight="1" x14ac:dyDescent="0.3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5"/>
      <c r="S273" s="85"/>
    </row>
    <row r="274" spans="1:19" ht="12.75" customHeight="1" x14ac:dyDescent="0.3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5"/>
      <c r="S274" s="85"/>
    </row>
    <row r="275" spans="1:19" ht="12.75" customHeight="1" x14ac:dyDescent="0.3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5"/>
      <c r="S275" s="85"/>
    </row>
    <row r="276" spans="1:19" ht="12.75" customHeight="1" x14ac:dyDescent="0.3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5"/>
      <c r="S276" s="85"/>
    </row>
    <row r="277" spans="1:19" ht="12.75" customHeight="1" x14ac:dyDescent="0.3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5"/>
      <c r="S277" s="85"/>
    </row>
    <row r="278" spans="1:19" ht="12.75" customHeight="1" x14ac:dyDescent="0.3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5"/>
      <c r="S278" s="85"/>
    </row>
    <row r="279" spans="1:19" ht="12.75" customHeight="1" x14ac:dyDescent="0.3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5"/>
      <c r="S279" s="85"/>
    </row>
    <row r="280" spans="1:19" ht="12.75" customHeight="1" x14ac:dyDescent="0.3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5"/>
      <c r="S280" s="85"/>
    </row>
    <row r="281" spans="1:19" ht="12.75" customHeight="1" x14ac:dyDescent="0.3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5"/>
      <c r="S281" s="85"/>
    </row>
    <row r="282" spans="1:19" ht="12.75" customHeight="1" x14ac:dyDescent="0.3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5"/>
      <c r="S282" s="85"/>
    </row>
    <row r="283" spans="1:19" ht="12.75" customHeight="1" x14ac:dyDescent="0.3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5"/>
      <c r="S283" s="85"/>
    </row>
    <row r="284" spans="1:19" ht="12.75" customHeight="1" x14ac:dyDescent="0.3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5"/>
      <c r="S284" s="85"/>
    </row>
    <row r="285" spans="1:19" ht="12.75" customHeight="1" x14ac:dyDescent="0.3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5"/>
      <c r="S285" s="85"/>
    </row>
    <row r="286" spans="1:19" ht="12.75" customHeight="1" x14ac:dyDescent="0.3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5"/>
      <c r="S286" s="85"/>
    </row>
    <row r="287" spans="1:19" ht="12.75" customHeight="1" x14ac:dyDescent="0.3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5"/>
      <c r="S287" s="85"/>
    </row>
    <row r="288" spans="1:19" ht="12.75" customHeight="1" x14ac:dyDescent="0.3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5"/>
      <c r="S288" s="85"/>
    </row>
    <row r="289" spans="1:19" ht="12.75" customHeight="1" x14ac:dyDescent="0.3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5"/>
      <c r="S289" s="85"/>
    </row>
    <row r="290" spans="1:19" ht="12.75" customHeight="1" x14ac:dyDescent="0.3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5"/>
      <c r="S290" s="85"/>
    </row>
    <row r="291" spans="1:19" ht="12.75" customHeight="1" x14ac:dyDescent="0.3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5"/>
      <c r="S291" s="85"/>
    </row>
    <row r="292" spans="1:19" ht="12.75" customHeight="1" x14ac:dyDescent="0.3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5"/>
      <c r="S292" s="85"/>
    </row>
    <row r="293" spans="1:19" ht="12.75" customHeight="1" x14ac:dyDescent="0.3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5"/>
      <c r="S293" s="85"/>
    </row>
    <row r="294" spans="1:19" ht="12.75" customHeight="1" x14ac:dyDescent="0.3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5"/>
      <c r="S294" s="85"/>
    </row>
    <row r="295" spans="1:19" ht="12.75" customHeight="1" x14ac:dyDescent="0.3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5"/>
      <c r="S295" s="85"/>
    </row>
    <row r="296" spans="1:19" ht="12.75" customHeight="1" x14ac:dyDescent="0.3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5"/>
      <c r="S296" s="85"/>
    </row>
    <row r="297" spans="1:19" ht="12.75" customHeight="1" x14ac:dyDescent="0.3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5"/>
      <c r="S297" s="85"/>
    </row>
    <row r="298" spans="1:19" ht="12.75" customHeight="1" x14ac:dyDescent="0.3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5"/>
      <c r="S298" s="85"/>
    </row>
    <row r="299" spans="1:19" ht="12.75" customHeight="1" x14ac:dyDescent="0.3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5"/>
      <c r="S299" s="85"/>
    </row>
    <row r="300" spans="1:19" ht="12.75" customHeight="1" x14ac:dyDescent="0.3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5"/>
      <c r="S300" s="85"/>
    </row>
    <row r="301" spans="1:19" ht="12.75" customHeight="1" x14ac:dyDescent="0.3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5"/>
      <c r="S301" s="85"/>
    </row>
    <row r="302" spans="1:19" ht="12.75" customHeight="1" x14ac:dyDescent="0.3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5"/>
      <c r="S302" s="85"/>
    </row>
    <row r="303" spans="1:19" ht="12.75" customHeight="1" x14ac:dyDescent="0.3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5"/>
      <c r="S303" s="85"/>
    </row>
    <row r="304" spans="1:19" ht="12.75" customHeight="1" x14ac:dyDescent="0.3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5"/>
      <c r="S304" s="85"/>
    </row>
    <row r="305" spans="1:19" ht="12.75" customHeight="1" x14ac:dyDescent="0.3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5"/>
      <c r="S305" s="85"/>
    </row>
    <row r="306" spans="1:19" ht="12.75" customHeight="1" x14ac:dyDescent="0.3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5"/>
      <c r="S306" s="85"/>
    </row>
    <row r="307" spans="1:19" ht="12.75" customHeight="1" x14ac:dyDescent="0.3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5"/>
      <c r="S307" s="85"/>
    </row>
    <row r="308" spans="1:19" ht="12.75" customHeight="1" x14ac:dyDescent="0.3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5"/>
      <c r="S308" s="85"/>
    </row>
    <row r="309" spans="1:19" ht="12.75" customHeight="1" x14ac:dyDescent="0.3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5"/>
      <c r="S309" s="85"/>
    </row>
    <row r="310" spans="1:19" ht="12.75" customHeight="1" x14ac:dyDescent="0.3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5"/>
      <c r="S310" s="85"/>
    </row>
    <row r="311" spans="1:19" ht="12.75" customHeight="1" x14ac:dyDescent="0.3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5"/>
      <c r="S311" s="85"/>
    </row>
    <row r="312" spans="1:19" ht="12.75" customHeight="1" x14ac:dyDescent="0.3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5"/>
      <c r="S312" s="85"/>
    </row>
    <row r="313" spans="1:19" ht="12.75" customHeight="1" x14ac:dyDescent="0.3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5"/>
      <c r="S313" s="85"/>
    </row>
    <row r="314" spans="1:19" ht="12.75" customHeight="1" x14ac:dyDescent="0.3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5"/>
      <c r="S314" s="85"/>
    </row>
    <row r="315" spans="1:19" ht="12.75" customHeight="1" x14ac:dyDescent="0.3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5"/>
      <c r="S315" s="85"/>
    </row>
    <row r="316" spans="1:19" ht="12.75" customHeight="1" x14ac:dyDescent="0.3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5"/>
      <c r="S316" s="85"/>
    </row>
    <row r="317" spans="1:19" ht="12.75" customHeight="1" x14ac:dyDescent="0.3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5"/>
      <c r="S317" s="85"/>
    </row>
    <row r="318" spans="1:19" ht="12.75" customHeight="1" x14ac:dyDescent="0.3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5"/>
      <c r="S318" s="85"/>
    </row>
    <row r="319" spans="1:19" ht="12.75" customHeight="1" x14ac:dyDescent="0.3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5"/>
      <c r="S319" s="85"/>
    </row>
    <row r="320" spans="1:19" ht="12.75" customHeight="1" x14ac:dyDescent="0.3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5"/>
      <c r="S320" s="85"/>
    </row>
    <row r="321" spans="1:19" ht="12.75" customHeight="1" x14ac:dyDescent="0.3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5"/>
      <c r="S321" s="85"/>
    </row>
    <row r="322" spans="1:19" ht="12.75" customHeight="1" x14ac:dyDescent="0.3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5"/>
      <c r="S322" s="85"/>
    </row>
    <row r="323" spans="1:19" ht="12.75" customHeight="1" x14ac:dyDescent="0.3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5"/>
      <c r="S323" s="85"/>
    </row>
    <row r="324" spans="1:19" ht="12.75" customHeight="1" x14ac:dyDescent="0.3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5"/>
      <c r="S324" s="85"/>
    </row>
    <row r="325" spans="1:19" ht="12.75" customHeight="1" x14ac:dyDescent="0.3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5"/>
      <c r="S325" s="85"/>
    </row>
    <row r="326" spans="1:19" ht="12.75" customHeight="1" x14ac:dyDescent="0.3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5"/>
      <c r="S326" s="85"/>
    </row>
    <row r="327" spans="1:19" ht="12.75" customHeight="1" x14ac:dyDescent="0.3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5"/>
      <c r="S327" s="85"/>
    </row>
    <row r="328" spans="1:19" ht="12.75" customHeight="1" x14ac:dyDescent="0.3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5"/>
      <c r="S328" s="85"/>
    </row>
    <row r="329" spans="1:19" ht="12.75" customHeight="1" x14ac:dyDescent="0.3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5"/>
      <c r="S329" s="85"/>
    </row>
    <row r="330" spans="1:19" ht="12.75" customHeight="1" x14ac:dyDescent="0.3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5"/>
      <c r="S330" s="85"/>
    </row>
    <row r="331" spans="1:19" ht="12.75" customHeight="1" x14ac:dyDescent="0.3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5"/>
      <c r="S331" s="85"/>
    </row>
    <row r="332" spans="1:19" ht="12.75" customHeight="1" x14ac:dyDescent="0.3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5"/>
      <c r="S332" s="85"/>
    </row>
    <row r="333" spans="1:19" ht="12.75" customHeight="1" x14ac:dyDescent="0.3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5"/>
      <c r="S333" s="85"/>
    </row>
    <row r="334" spans="1:19" ht="12.75" customHeight="1" x14ac:dyDescent="0.3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5"/>
      <c r="S334" s="85"/>
    </row>
    <row r="335" spans="1:19" ht="12.75" customHeight="1" x14ac:dyDescent="0.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5"/>
      <c r="S335" s="85"/>
    </row>
    <row r="336" spans="1:19" ht="12.75" customHeight="1" x14ac:dyDescent="0.3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5"/>
      <c r="S336" s="85"/>
    </row>
    <row r="337" spans="1:19" ht="12.75" customHeight="1" x14ac:dyDescent="0.3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5"/>
      <c r="S337" s="85"/>
    </row>
    <row r="338" spans="1:19" ht="12.75" customHeight="1" x14ac:dyDescent="0.3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5"/>
      <c r="S338" s="85"/>
    </row>
    <row r="339" spans="1:19" ht="12.75" customHeight="1" x14ac:dyDescent="0.3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5"/>
      <c r="S339" s="85"/>
    </row>
    <row r="340" spans="1:19" ht="12.75" customHeight="1" x14ac:dyDescent="0.3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5"/>
      <c r="S340" s="85"/>
    </row>
    <row r="341" spans="1:19" ht="12.75" customHeight="1" x14ac:dyDescent="0.3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5"/>
      <c r="S341" s="85"/>
    </row>
    <row r="342" spans="1:19" ht="12.75" customHeight="1" x14ac:dyDescent="0.3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5"/>
      <c r="S342" s="85"/>
    </row>
    <row r="343" spans="1:19" ht="12.75" customHeight="1" x14ac:dyDescent="0.3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5"/>
      <c r="S343" s="85"/>
    </row>
    <row r="344" spans="1:19" ht="12.75" customHeight="1" x14ac:dyDescent="0.3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5"/>
      <c r="S344" s="85"/>
    </row>
    <row r="345" spans="1:19" ht="12.75" customHeight="1" x14ac:dyDescent="0.3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5"/>
      <c r="S345" s="85"/>
    </row>
    <row r="346" spans="1:19" ht="12.75" customHeight="1" x14ac:dyDescent="0.3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5"/>
      <c r="S346" s="85"/>
    </row>
    <row r="347" spans="1:19" ht="12.75" customHeight="1" x14ac:dyDescent="0.3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5"/>
      <c r="S347" s="85"/>
    </row>
    <row r="348" spans="1:19" ht="12.75" customHeight="1" x14ac:dyDescent="0.3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5"/>
      <c r="S348" s="85"/>
    </row>
    <row r="349" spans="1:19" ht="12.75" customHeight="1" x14ac:dyDescent="0.3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5"/>
      <c r="S349" s="85"/>
    </row>
    <row r="350" spans="1:19" ht="12.75" customHeight="1" x14ac:dyDescent="0.3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5"/>
      <c r="S350" s="85"/>
    </row>
    <row r="351" spans="1:19" ht="12.75" customHeight="1" x14ac:dyDescent="0.3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5"/>
      <c r="S351" s="85"/>
    </row>
    <row r="352" spans="1:19" ht="12.75" customHeight="1" x14ac:dyDescent="0.3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5"/>
      <c r="S352" s="85"/>
    </row>
    <row r="353" spans="1:19" ht="12.75" customHeight="1" x14ac:dyDescent="0.3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5"/>
      <c r="S353" s="85"/>
    </row>
    <row r="354" spans="1:19" ht="12.75" customHeight="1" x14ac:dyDescent="0.3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5"/>
      <c r="S354" s="85"/>
    </row>
    <row r="355" spans="1:19" ht="12.75" customHeight="1" x14ac:dyDescent="0.3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5"/>
      <c r="S355" s="85"/>
    </row>
    <row r="356" spans="1:19" ht="12.75" customHeight="1" x14ac:dyDescent="0.3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5"/>
      <c r="S356" s="85"/>
    </row>
    <row r="357" spans="1:19" ht="12.75" customHeight="1" x14ac:dyDescent="0.3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5"/>
      <c r="S357" s="85"/>
    </row>
    <row r="358" spans="1:19" ht="12.75" customHeight="1" x14ac:dyDescent="0.3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5"/>
      <c r="S358" s="85"/>
    </row>
    <row r="359" spans="1:19" ht="12.75" customHeight="1" x14ac:dyDescent="0.3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5"/>
      <c r="S359" s="85"/>
    </row>
    <row r="360" spans="1:19" ht="12.75" customHeight="1" x14ac:dyDescent="0.3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5"/>
      <c r="S360" s="85"/>
    </row>
    <row r="361" spans="1:19" ht="12.75" customHeight="1" x14ac:dyDescent="0.3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5"/>
      <c r="S361" s="85"/>
    </row>
    <row r="362" spans="1:19" ht="12.75" customHeight="1" x14ac:dyDescent="0.3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5"/>
      <c r="S362" s="85"/>
    </row>
    <row r="363" spans="1:19" ht="12.75" customHeight="1" x14ac:dyDescent="0.3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5"/>
      <c r="S363" s="85"/>
    </row>
    <row r="364" spans="1:19" ht="12.75" customHeight="1" x14ac:dyDescent="0.3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5"/>
      <c r="S364" s="85"/>
    </row>
    <row r="365" spans="1:19" ht="12.75" customHeight="1" x14ac:dyDescent="0.3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5"/>
      <c r="S365" s="85"/>
    </row>
    <row r="366" spans="1:19" ht="12.75" customHeight="1" x14ac:dyDescent="0.3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5"/>
      <c r="S366" s="85"/>
    </row>
    <row r="367" spans="1:19" ht="12.75" customHeight="1" x14ac:dyDescent="0.3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5"/>
      <c r="S367" s="85"/>
    </row>
    <row r="368" spans="1:19" ht="12.75" customHeight="1" x14ac:dyDescent="0.3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5"/>
      <c r="S368" s="85"/>
    </row>
    <row r="369" spans="1:19" ht="12.75" customHeight="1" x14ac:dyDescent="0.3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5"/>
      <c r="S369" s="85"/>
    </row>
    <row r="370" spans="1:19" ht="12.75" customHeight="1" x14ac:dyDescent="0.3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5"/>
      <c r="S370" s="85"/>
    </row>
    <row r="371" spans="1:19" ht="12.75" customHeight="1" x14ac:dyDescent="0.3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5"/>
      <c r="S371" s="85"/>
    </row>
    <row r="372" spans="1:19" ht="12.75" customHeight="1" x14ac:dyDescent="0.3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5"/>
      <c r="S372" s="85"/>
    </row>
    <row r="373" spans="1:19" ht="12.75" customHeight="1" x14ac:dyDescent="0.3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5"/>
      <c r="S373" s="85"/>
    </row>
    <row r="374" spans="1:19" ht="12.75" customHeight="1" x14ac:dyDescent="0.3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5"/>
      <c r="S374" s="85"/>
    </row>
    <row r="375" spans="1:19" ht="12.75" customHeight="1" x14ac:dyDescent="0.3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5"/>
      <c r="S375" s="85"/>
    </row>
    <row r="376" spans="1:19" ht="12.75" customHeight="1" x14ac:dyDescent="0.3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5"/>
      <c r="S376" s="85"/>
    </row>
    <row r="377" spans="1:19" ht="12.75" customHeight="1" x14ac:dyDescent="0.3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5"/>
      <c r="S377" s="85"/>
    </row>
    <row r="378" spans="1:19" ht="12.75" customHeight="1" x14ac:dyDescent="0.3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5"/>
      <c r="S378" s="85"/>
    </row>
    <row r="379" spans="1:19" ht="12.75" customHeight="1" x14ac:dyDescent="0.3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5"/>
      <c r="S379" s="85"/>
    </row>
    <row r="380" spans="1:19" ht="12.75" customHeight="1" x14ac:dyDescent="0.3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5"/>
      <c r="S380" s="85"/>
    </row>
    <row r="381" spans="1:19" ht="12.75" customHeight="1" x14ac:dyDescent="0.3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5"/>
      <c r="S381" s="85"/>
    </row>
    <row r="382" spans="1:19" ht="12.75" customHeight="1" x14ac:dyDescent="0.3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5"/>
      <c r="S382" s="85"/>
    </row>
    <row r="383" spans="1:19" ht="12.75" customHeight="1" x14ac:dyDescent="0.3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5"/>
      <c r="S383" s="85"/>
    </row>
    <row r="384" spans="1:19" ht="12.75" customHeight="1" x14ac:dyDescent="0.3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5"/>
      <c r="S384" s="85"/>
    </row>
    <row r="385" spans="1:19" ht="12.75" customHeight="1" x14ac:dyDescent="0.3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5"/>
      <c r="S385" s="85"/>
    </row>
    <row r="386" spans="1:19" ht="12.75" customHeight="1" x14ac:dyDescent="0.3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5"/>
      <c r="S386" s="85"/>
    </row>
    <row r="387" spans="1:19" ht="12.75" customHeight="1" x14ac:dyDescent="0.3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5"/>
      <c r="S387" s="85"/>
    </row>
    <row r="388" spans="1:19" ht="12.75" customHeight="1" x14ac:dyDescent="0.3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5"/>
      <c r="S388" s="85"/>
    </row>
    <row r="389" spans="1:19" ht="12.75" customHeight="1" x14ac:dyDescent="0.3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5"/>
      <c r="S389" s="85"/>
    </row>
    <row r="390" spans="1:19" ht="12.75" customHeight="1" x14ac:dyDescent="0.3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5"/>
      <c r="S390" s="85"/>
    </row>
    <row r="391" spans="1:19" ht="12.75" customHeight="1" x14ac:dyDescent="0.3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5"/>
      <c r="S391" s="85"/>
    </row>
    <row r="392" spans="1:19" ht="12.75" customHeight="1" x14ac:dyDescent="0.3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5"/>
      <c r="S392" s="85"/>
    </row>
    <row r="393" spans="1:19" ht="12.75" customHeight="1" x14ac:dyDescent="0.3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5"/>
      <c r="S393" s="85"/>
    </row>
    <row r="394" spans="1:19" ht="12.75" customHeight="1" x14ac:dyDescent="0.3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5"/>
      <c r="S394" s="85"/>
    </row>
    <row r="395" spans="1:19" ht="12.75" customHeight="1" x14ac:dyDescent="0.3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5"/>
      <c r="S395" s="85"/>
    </row>
    <row r="396" spans="1:19" ht="12.75" customHeight="1" x14ac:dyDescent="0.3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5"/>
      <c r="S396" s="85"/>
    </row>
    <row r="397" spans="1:19" ht="12.75" customHeight="1" x14ac:dyDescent="0.3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5"/>
      <c r="S397" s="85"/>
    </row>
    <row r="398" spans="1:19" ht="12.75" customHeight="1" x14ac:dyDescent="0.3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5"/>
      <c r="S398" s="85"/>
    </row>
    <row r="399" spans="1:19" ht="12.75" customHeight="1" x14ac:dyDescent="0.3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5"/>
      <c r="S399" s="85"/>
    </row>
    <row r="400" spans="1:19" ht="12.75" customHeight="1" x14ac:dyDescent="0.3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5"/>
      <c r="S400" s="85"/>
    </row>
    <row r="401" spans="1:19" ht="12.75" customHeight="1" x14ac:dyDescent="0.3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5"/>
      <c r="S401" s="85"/>
    </row>
    <row r="402" spans="1:19" ht="12.75" customHeight="1" x14ac:dyDescent="0.3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5"/>
      <c r="S402" s="85"/>
    </row>
    <row r="403" spans="1:19" ht="12.75" customHeight="1" x14ac:dyDescent="0.3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5"/>
      <c r="S403" s="85"/>
    </row>
    <row r="404" spans="1:19" ht="12.75" customHeight="1" x14ac:dyDescent="0.3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5"/>
      <c r="S404" s="85"/>
    </row>
    <row r="405" spans="1:19" ht="12.75" customHeight="1" x14ac:dyDescent="0.3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5"/>
      <c r="S405" s="85"/>
    </row>
    <row r="406" spans="1:19" ht="12.75" customHeight="1" x14ac:dyDescent="0.3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5"/>
      <c r="S406" s="85"/>
    </row>
    <row r="407" spans="1:19" ht="12.75" customHeight="1" x14ac:dyDescent="0.3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5"/>
      <c r="S407" s="85"/>
    </row>
    <row r="408" spans="1:19" ht="12.75" customHeight="1" x14ac:dyDescent="0.3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5"/>
      <c r="S408" s="85"/>
    </row>
    <row r="409" spans="1:19" ht="12.75" customHeight="1" x14ac:dyDescent="0.3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5"/>
      <c r="S409" s="85"/>
    </row>
    <row r="410" spans="1:19" ht="12.75" customHeight="1" x14ac:dyDescent="0.3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5"/>
      <c r="S410" s="85"/>
    </row>
    <row r="411" spans="1:19" ht="12.75" customHeight="1" x14ac:dyDescent="0.3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5"/>
      <c r="S411" s="85"/>
    </row>
    <row r="412" spans="1:19" ht="12.75" customHeight="1" x14ac:dyDescent="0.3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5"/>
      <c r="S412" s="85"/>
    </row>
    <row r="413" spans="1:19" ht="12.75" customHeight="1" x14ac:dyDescent="0.3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5"/>
      <c r="S413" s="85"/>
    </row>
    <row r="414" spans="1:19" ht="12.75" customHeight="1" x14ac:dyDescent="0.3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5"/>
      <c r="S414" s="85"/>
    </row>
    <row r="415" spans="1:19" ht="12.75" customHeight="1" x14ac:dyDescent="0.3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5"/>
      <c r="S415" s="85"/>
    </row>
    <row r="416" spans="1:19" ht="12.75" customHeight="1" x14ac:dyDescent="0.3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5"/>
      <c r="S416" s="85"/>
    </row>
    <row r="417" spans="1:19" ht="12.75" customHeight="1" x14ac:dyDescent="0.3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5"/>
      <c r="S417" s="85"/>
    </row>
    <row r="418" spans="1:19" ht="12.75" customHeight="1" x14ac:dyDescent="0.3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5"/>
      <c r="S418" s="85"/>
    </row>
    <row r="419" spans="1:19" ht="12.75" customHeight="1" x14ac:dyDescent="0.3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5"/>
      <c r="S419" s="85"/>
    </row>
    <row r="420" spans="1:19" ht="12.75" customHeight="1" x14ac:dyDescent="0.3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5"/>
      <c r="S420" s="85"/>
    </row>
    <row r="421" spans="1:19" ht="12.75" customHeight="1" x14ac:dyDescent="0.3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5"/>
      <c r="S421" s="85"/>
    </row>
    <row r="422" spans="1:19" ht="12.75" customHeight="1" x14ac:dyDescent="0.3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5"/>
      <c r="S422" s="85"/>
    </row>
    <row r="423" spans="1:19" ht="12.75" customHeight="1" x14ac:dyDescent="0.3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5"/>
      <c r="S423" s="85"/>
    </row>
    <row r="424" spans="1:19" ht="12.75" customHeight="1" x14ac:dyDescent="0.3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5"/>
      <c r="S424" s="85"/>
    </row>
    <row r="425" spans="1:19" ht="12.75" customHeight="1" x14ac:dyDescent="0.3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5"/>
      <c r="S425" s="85"/>
    </row>
    <row r="426" spans="1:19" ht="12.75" customHeight="1" x14ac:dyDescent="0.3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5"/>
      <c r="S426" s="85"/>
    </row>
    <row r="427" spans="1:19" ht="12.75" customHeight="1" x14ac:dyDescent="0.3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5"/>
      <c r="S427" s="85"/>
    </row>
    <row r="428" spans="1:19" ht="12.75" customHeight="1" x14ac:dyDescent="0.3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5"/>
      <c r="S428" s="85"/>
    </row>
    <row r="429" spans="1:19" ht="12.75" customHeight="1" x14ac:dyDescent="0.3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5"/>
      <c r="S429" s="85"/>
    </row>
    <row r="430" spans="1:19" ht="12.75" customHeight="1" x14ac:dyDescent="0.3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5"/>
      <c r="S430" s="85"/>
    </row>
    <row r="431" spans="1:19" ht="12.75" customHeight="1" x14ac:dyDescent="0.3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5"/>
      <c r="S431" s="85"/>
    </row>
    <row r="432" spans="1:19" ht="12.75" customHeight="1" x14ac:dyDescent="0.3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5"/>
      <c r="S432" s="85"/>
    </row>
    <row r="433" spans="1:19" ht="12.75" customHeight="1" x14ac:dyDescent="0.3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5"/>
      <c r="S433" s="85"/>
    </row>
    <row r="434" spans="1:19" ht="12.75" customHeight="1" x14ac:dyDescent="0.3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5"/>
      <c r="S434" s="85"/>
    </row>
    <row r="435" spans="1:19" ht="12.75" customHeight="1" x14ac:dyDescent="0.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5"/>
      <c r="S435" s="85"/>
    </row>
    <row r="436" spans="1:19" ht="12.75" customHeight="1" x14ac:dyDescent="0.3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5"/>
      <c r="S436" s="85"/>
    </row>
    <row r="437" spans="1:19" ht="12.75" customHeight="1" x14ac:dyDescent="0.3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5"/>
      <c r="S437" s="85"/>
    </row>
    <row r="438" spans="1:19" ht="12.75" customHeight="1" x14ac:dyDescent="0.3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5"/>
      <c r="S438" s="85"/>
    </row>
    <row r="439" spans="1:19" ht="12.75" customHeight="1" x14ac:dyDescent="0.3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5"/>
      <c r="S439" s="85"/>
    </row>
    <row r="440" spans="1:19" ht="12.75" customHeight="1" x14ac:dyDescent="0.3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5"/>
      <c r="S440" s="85"/>
    </row>
    <row r="441" spans="1:19" ht="12.75" customHeight="1" x14ac:dyDescent="0.3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5"/>
      <c r="S441" s="85"/>
    </row>
    <row r="442" spans="1:19" ht="12.75" customHeight="1" x14ac:dyDescent="0.3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5"/>
      <c r="S442" s="85"/>
    </row>
    <row r="443" spans="1:19" ht="12.75" customHeight="1" x14ac:dyDescent="0.3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5"/>
      <c r="S443" s="85"/>
    </row>
    <row r="444" spans="1:19" ht="12.75" customHeight="1" x14ac:dyDescent="0.3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5"/>
      <c r="S444" s="85"/>
    </row>
    <row r="445" spans="1:19" ht="12.75" customHeight="1" x14ac:dyDescent="0.3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5"/>
      <c r="S445" s="85"/>
    </row>
    <row r="446" spans="1:19" ht="12.75" customHeight="1" x14ac:dyDescent="0.3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5"/>
      <c r="S446" s="85"/>
    </row>
    <row r="447" spans="1:19" ht="12.75" customHeight="1" x14ac:dyDescent="0.3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5"/>
      <c r="S447" s="85"/>
    </row>
    <row r="448" spans="1:19" ht="12.75" customHeight="1" x14ac:dyDescent="0.3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5"/>
      <c r="S448" s="85"/>
    </row>
    <row r="449" spans="1:19" ht="12.75" customHeight="1" x14ac:dyDescent="0.3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5"/>
      <c r="S449" s="85"/>
    </row>
    <row r="450" spans="1:19" ht="12.75" customHeight="1" x14ac:dyDescent="0.3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5"/>
      <c r="S450" s="85"/>
    </row>
    <row r="451" spans="1:19" ht="12.75" customHeight="1" x14ac:dyDescent="0.3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5"/>
      <c r="S451" s="85"/>
    </row>
    <row r="452" spans="1:19" ht="12.75" customHeight="1" x14ac:dyDescent="0.3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5"/>
      <c r="S452" s="85"/>
    </row>
    <row r="453" spans="1:19" ht="12.75" customHeight="1" x14ac:dyDescent="0.3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5"/>
      <c r="S453" s="85"/>
    </row>
    <row r="454" spans="1:19" ht="12.75" customHeight="1" x14ac:dyDescent="0.3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5"/>
      <c r="S454" s="85"/>
    </row>
    <row r="455" spans="1:19" ht="12.75" customHeight="1" x14ac:dyDescent="0.3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5"/>
      <c r="S455" s="85"/>
    </row>
    <row r="456" spans="1:19" ht="12.75" customHeight="1" x14ac:dyDescent="0.3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5"/>
      <c r="S456" s="85"/>
    </row>
    <row r="457" spans="1:19" ht="12.75" customHeight="1" x14ac:dyDescent="0.3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5"/>
      <c r="S457" s="85"/>
    </row>
    <row r="458" spans="1:19" ht="12.75" customHeight="1" x14ac:dyDescent="0.3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5"/>
      <c r="S458" s="85"/>
    </row>
    <row r="459" spans="1:19" ht="12.75" customHeight="1" x14ac:dyDescent="0.3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5"/>
      <c r="S459" s="85"/>
    </row>
    <row r="460" spans="1:19" ht="12.75" customHeight="1" x14ac:dyDescent="0.3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5"/>
      <c r="S460" s="85"/>
    </row>
    <row r="461" spans="1:19" ht="12.75" customHeight="1" x14ac:dyDescent="0.3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5"/>
      <c r="S461" s="85"/>
    </row>
    <row r="462" spans="1:19" ht="12.75" customHeight="1" x14ac:dyDescent="0.3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5"/>
      <c r="S462" s="85"/>
    </row>
    <row r="463" spans="1:19" ht="12.75" customHeight="1" x14ac:dyDescent="0.3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5"/>
      <c r="S463" s="85"/>
    </row>
    <row r="464" spans="1:19" ht="12.75" customHeight="1" x14ac:dyDescent="0.3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5"/>
      <c r="S464" s="85"/>
    </row>
    <row r="465" spans="1:19" ht="12.75" customHeight="1" x14ac:dyDescent="0.3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5"/>
      <c r="S465" s="85"/>
    </row>
    <row r="466" spans="1:19" ht="12.75" customHeight="1" x14ac:dyDescent="0.3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5"/>
      <c r="S466" s="85"/>
    </row>
    <row r="467" spans="1:19" ht="12.75" customHeight="1" x14ac:dyDescent="0.3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5"/>
      <c r="S467" s="85"/>
    </row>
    <row r="468" spans="1:19" ht="12.75" customHeight="1" x14ac:dyDescent="0.3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5"/>
      <c r="S468" s="85"/>
    </row>
    <row r="469" spans="1:19" ht="12.75" customHeight="1" x14ac:dyDescent="0.3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5"/>
      <c r="S469" s="85"/>
    </row>
    <row r="470" spans="1:19" ht="12.75" customHeight="1" x14ac:dyDescent="0.3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5"/>
      <c r="S470" s="85"/>
    </row>
    <row r="471" spans="1:19" ht="12.75" customHeight="1" x14ac:dyDescent="0.3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5"/>
      <c r="S471" s="85"/>
    </row>
    <row r="472" spans="1:19" ht="12.75" customHeight="1" x14ac:dyDescent="0.3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5"/>
      <c r="S472" s="85"/>
    </row>
    <row r="473" spans="1:19" ht="12.75" customHeight="1" x14ac:dyDescent="0.3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5"/>
      <c r="S473" s="85"/>
    </row>
    <row r="474" spans="1:19" ht="12.75" customHeight="1" x14ac:dyDescent="0.3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5"/>
      <c r="S474" s="85"/>
    </row>
    <row r="475" spans="1:19" ht="12.75" customHeight="1" x14ac:dyDescent="0.3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5"/>
      <c r="S475" s="85"/>
    </row>
    <row r="476" spans="1:19" ht="12.75" customHeight="1" x14ac:dyDescent="0.3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5"/>
      <c r="S476" s="85"/>
    </row>
    <row r="477" spans="1:19" ht="12.75" customHeight="1" x14ac:dyDescent="0.3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5"/>
      <c r="S477" s="85"/>
    </row>
    <row r="478" spans="1:19" ht="12.75" customHeight="1" x14ac:dyDescent="0.3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5"/>
      <c r="S478" s="85"/>
    </row>
    <row r="479" spans="1:19" ht="12.75" customHeight="1" x14ac:dyDescent="0.3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5"/>
      <c r="S479" s="85"/>
    </row>
    <row r="480" spans="1:19" ht="12.75" customHeight="1" x14ac:dyDescent="0.3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5"/>
      <c r="S480" s="85"/>
    </row>
    <row r="481" spans="1:19" ht="12.75" customHeight="1" x14ac:dyDescent="0.3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5"/>
      <c r="S481" s="85"/>
    </row>
    <row r="482" spans="1:19" ht="12.75" customHeight="1" x14ac:dyDescent="0.3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5"/>
      <c r="S482" s="85"/>
    </row>
    <row r="483" spans="1:19" ht="12.75" customHeight="1" x14ac:dyDescent="0.3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5"/>
      <c r="S483" s="85"/>
    </row>
    <row r="484" spans="1:19" ht="12.75" customHeight="1" x14ac:dyDescent="0.3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5"/>
      <c r="S484" s="85"/>
    </row>
    <row r="485" spans="1:19" ht="12.75" customHeight="1" x14ac:dyDescent="0.3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5"/>
      <c r="S485" s="85"/>
    </row>
    <row r="486" spans="1:19" ht="12.75" customHeight="1" x14ac:dyDescent="0.3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5"/>
      <c r="S486" s="85"/>
    </row>
    <row r="487" spans="1:19" ht="12.75" customHeight="1" x14ac:dyDescent="0.3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5"/>
      <c r="S487" s="85"/>
    </row>
    <row r="488" spans="1:19" ht="12.75" customHeight="1" x14ac:dyDescent="0.3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5"/>
      <c r="S488" s="85"/>
    </row>
    <row r="489" spans="1:19" ht="12.75" customHeight="1" x14ac:dyDescent="0.3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5"/>
      <c r="S489" s="85"/>
    </row>
    <row r="490" spans="1:19" ht="12.75" customHeight="1" x14ac:dyDescent="0.3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5"/>
      <c r="S490" s="85"/>
    </row>
    <row r="491" spans="1:19" ht="12.75" customHeight="1" x14ac:dyDescent="0.3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5"/>
      <c r="S491" s="85"/>
    </row>
    <row r="492" spans="1:19" ht="12.75" customHeight="1" x14ac:dyDescent="0.3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5"/>
      <c r="S492" s="85"/>
    </row>
    <row r="493" spans="1:19" ht="12.75" customHeight="1" x14ac:dyDescent="0.3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5"/>
      <c r="S493" s="85"/>
    </row>
    <row r="494" spans="1:19" ht="12.75" customHeight="1" x14ac:dyDescent="0.3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5"/>
      <c r="S494" s="85"/>
    </row>
    <row r="495" spans="1:19" ht="12.75" customHeight="1" x14ac:dyDescent="0.3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5"/>
      <c r="S495" s="85"/>
    </row>
    <row r="496" spans="1:19" ht="12.75" customHeight="1" x14ac:dyDescent="0.3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5"/>
      <c r="S496" s="85"/>
    </row>
    <row r="497" spans="1:19" ht="12.75" customHeight="1" x14ac:dyDescent="0.3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5"/>
      <c r="S497" s="85"/>
    </row>
    <row r="498" spans="1:19" ht="12.75" customHeight="1" x14ac:dyDescent="0.3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5"/>
      <c r="S498" s="85"/>
    </row>
    <row r="499" spans="1:19" ht="12.75" customHeight="1" x14ac:dyDescent="0.3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5"/>
      <c r="S499" s="85"/>
    </row>
    <row r="500" spans="1:19" ht="12.75" customHeight="1" x14ac:dyDescent="0.3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5"/>
      <c r="S500" s="85"/>
    </row>
    <row r="501" spans="1:19" ht="12.75" customHeight="1" x14ac:dyDescent="0.3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5"/>
      <c r="S501" s="85"/>
    </row>
    <row r="502" spans="1:19" ht="12.75" customHeight="1" x14ac:dyDescent="0.3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5"/>
      <c r="S502" s="85"/>
    </row>
    <row r="503" spans="1:19" ht="12.75" customHeight="1" x14ac:dyDescent="0.3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5"/>
      <c r="S503" s="85"/>
    </row>
    <row r="504" spans="1:19" ht="12.75" customHeight="1" x14ac:dyDescent="0.3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5"/>
      <c r="S504" s="85"/>
    </row>
    <row r="505" spans="1:19" ht="12.75" customHeight="1" x14ac:dyDescent="0.3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5"/>
      <c r="S505" s="85"/>
    </row>
    <row r="506" spans="1:19" ht="12.75" customHeight="1" x14ac:dyDescent="0.3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5"/>
      <c r="S506" s="85"/>
    </row>
    <row r="507" spans="1:19" ht="12.75" customHeight="1" x14ac:dyDescent="0.3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5"/>
      <c r="S507" s="85"/>
    </row>
    <row r="508" spans="1:19" ht="12.75" customHeight="1" x14ac:dyDescent="0.3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5"/>
      <c r="S508" s="85"/>
    </row>
    <row r="509" spans="1:19" ht="12.75" customHeight="1" x14ac:dyDescent="0.3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5"/>
      <c r="S509" s="85"/>
    </row>
    <row r="510" spans="1:19" ht="12.75" customHeight="1" x14ac:dyDescent="0.3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5"/>
      <c r="S510" s="85"/>
    </row>
    <row r="511" spans="1:19" ht="12.75" customHeight="1" x14ac:dyDescent="0.3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5"/>
      <c r="S511" s="85"/>
    </row>
    <row r="512" spans="1:19" ht="12.75" customHeight="1" x14ac:dyDescent="0.3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5"/>
      <c r="S512" s="85"/>
    </row>
    <row r="513" spans="1:19" ht="12.75" customHeight="1" x14ac:dyDescent="0.3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5"/>
      <c r="S513" s="85"/>
    </row>
    <row r="514" spans="1:19" ht="12.75" customHeight="1" x14ac:dyDescent="0.3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5"/>
      <c r="S514" s="85"/>
    </row>
    <row r="515" spans="1:19" ht="12.75" customHeight="1" x14ac:dyDescent="0.3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5"/>
      <c r="S515" s="85"/>
    </row>
    <row r="516" spans="1:19" ht="12.75" customHeight="1" x14ac:dyDescent="0.3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5"/>
      <c r="S516" s="85"/>
    </row>
    <row r="517" spans="1:19" ht="12.75" customHeight="1" x14ac:dyDescent="0.3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5"/>
      <c r="S517" s="85"/>
    </row>
    <row r="518" spans="1:19" ht="12.75" customHeight="1" x14ac:dyDescent="0.3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5"/>
      <c r="S518" s="85"/>
    </row>
    <row r="519" spans="1:19" ht="12.75" customHeight="1" x14ac:dyDescent="0.3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5"/>
      <c r="S519" s="85"/>
    </row>
    <row r="520" spans="1:19" ht="12.75" customHeight="1" x14ac:dyDescent="0.3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5"/>
      <c r="S520" s="85"/>
    </row>
    <row r="521" spans="1:19" ht="12.75" customHeight="1" x14ac:dyDescent="0.3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5"/>
      <c r="S521" s="85"/>
    </row>
    <row r="522" spans="1:19" ht="12.75" customHeight="1" x14ac:dyDescent="0.3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5"/>
      <c r="S522" s="85"/>
    </row>
    <row r="523" spans="1:19" ht="12.75" customHeight="1" x14ac:dyDescent="0.3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5"/>
      <c r="S523" s="85"/>
    </row>
    <row r="524" spans="1:19" ht="12.75" customHeight="1" x14ac:dyDescent="0.3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5"/>
      <c r="S524" s="85"/>
    </row>
    <row r="525" spans="1:19" ht="12.75" customHeight="1" x14ac:dyDescent="0.3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5"/>
      <c r="S525" s="85"/>
    </row>
    <row r="526" spans="1:19" ht="12.75" customHeight="1" x14ac:dyDescent="0.3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5"/>
      <c r="S526" s="85"/>
    </row>
    <row r="527" spans="1:19" ht="12.75" customHeight="1" x14ac:dyDescent="0.3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5"/>
      <c r="S527" s="85"/>
    </row>
    <row r="528" spans="1:19" ht="12.75" customHeight="1" x14ac:dyDescent="0.3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5"/>
      <c r="S528" s="85"/>
    </row>
    <row r="529" spans="1:19" ht="12.75" customHeight="1" x14ac:dyDescent="0.3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5"/>
      <c r="S529" s="85"/>
    </row>
    <row r="530" spans="1:19" ht="12.75" customHeight="1" x14ac:dyDescent="0.3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5"/>
      <c r="S530" s="85"/>
    </row>
    <row r="531" spans="1:19" ht="12.75" customHeight="1" x14ac:dyDescent="0.3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5"/>
      <c r="S531" s="85"/>
    </row>
    <row r="532" spans="1:19" ht="12.75" customHeight="1" x14ac:dyDescent="0.3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5"/>
      <c r="S532" s="85"/>
    </row>
    <row r="533" spans="1:19" ht="12.75" customHeight="1" x14ac:dyDescent="0.3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5"/>
      <c r="S533" s="85"/>
    </row>
    <row r="534" spans="1:19" ht="12.75" customHeight="1" x14ac:dyDescent="0.3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5"/>
      <c r="S534" s="85"/>
    </row>
    <row r="535" spans="1:19" ht="12.75" customHeight="1" x14ac:dyDescent="0.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5"/>
      <c r="S535" s="85"/>
    </row>
    <row r="536" spans="1:19" ht="12.75" customHeight="1" x14ac:dyDescent="0.3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5"/>
      <c r="S536" s="85"/>
    </row>
    <row r="537" spans="1:19" ht="12.75" customHeight="1" x14ac:dyDescent="0.3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5"/>
      <c r="S537" s="85"/>
    </row>
    <row r="538" spans="1:19" ht="12.75" customHeight="1" x14ac:dyDescent="0.3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5"/>
      <c r="S538" s="85"/>
    </row>
    <row r="539" spans="1:19" ht="12.75" customHeight="1" x14ac:dyDescent="0.3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5"/>
      <c r="S539" s="85"/>
    </row>
    <row r="540" spans="1:19" ht="12.75" customHeight="1" x14ac:dyDescent="0.3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5"/>
      <c r="S540" s="85"/>
    </row>
    <row r="541" spans="1:19" ht="12.75" customHeight="1" x14ac:dyDescent="0.3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5"/>
      <c r="S541" s="85"/>
    </row>
    <row r="542" spans="1:19" ht="12.75" customHeight="1" x14ac:dyDescent="0.3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5"/>
      <c r="S542" s="85"/>
    </row>
    <row r="543" spans="1:19" ht="12.75" customHeight="1" x14ac:dyDescent="0.3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5"/>
      <c r="S543" s="85"/>
    </row>
    <row r="544" spans="1:19" ht="12.75" customHeight="1" x14ac:dyDescent="0.3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5"/>
      <c r="S544" s="85"/>
    </row>
    <row r="545" spans="1:19" ht="12.75" customHeight="1" x14ac:dyDescent="0.3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5"/>
      <c r="S545" s="85"/>
    </row>
    <row r="546" spans="1:19" ht="12.75" customHeight="1" x14ac:dyDescent="0.3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5"/>
      <c r="S546" s="85"/>
    </row>
    <row r="547" spans="1:19" ht="12.75" customHeight="1" x14ac:dyDescent="0.3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5"/>
      <c r="S547" s="85"/>
    </row>
    <row r="548" spans="1:19" ht="12.75" customHeight="1" x14ac:dyDescent="0.3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5"/>
      <c r="S548" s="85"/>
    </row>
    <row r="549" spans="1:19" ht="12.75" customHeight="1" x14ac:dyDescent="0.3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5"/>
      <c r="S549" s="85"/>
    </row>
    <row r="550" spans="1:19" ht="12.75" customHeight="1" x14ac:dyDescent="0.3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5"/>
      <c r="S550" s="85"/>
    </row>
    <row r="551" spans="1:19" ht="12.75" customHeight="1" x14ac:dyDescent="0.3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5"/>
      <c r="S551" s="85"/>
    </row>
    <row r="552" spans="1:19" ht="12.75" customHeight="1" x14ac:dyDescent="0.3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5"/>
      <c r="S552" s="85"/>
    </row>
    <row r="553" spans="1:19" ht="12.75" customHeight="1" x14ac:dyDescent="0.3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5"/>
      <c r="S553" s="85"/>
    </row>
    <row r="554" spans="1:19" ht="12.75" customHeight="1" x14ac:dyDescent="0.3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5"/>
      <c r="S554" s="85"/>
    </row>
    <row r="555" spans="1:19" ht="12.75" customHeight="1" x14ac:dyDescent="0.3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5"/>
      <c r="S555" s="85"/>
    </row>
    <row r="556" spans="1:19" ht="12.75" customHeight="1" x14ac:dyDescent="0.3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5"/>
      <c r="S556" s="85"/>
    </row>
    <row r="557" spans="1:19" ht="12.75" customHeight="1" x14ac:dyDescent="0.3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5"/>
      <c r="S557" s="85"/>
    </row>
    <row r="558" spans="1:19" ht="12.75" customHeight="1" x14ac:dyDescent="0.3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5"/>
      <c r="S558" s="85"/>
    </row>
    <row r="559" spans="1:19" ht="12.75" customHeight="1" x14ac:dyDescent="0.3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5"/>
      <c r="S559" s="85"/>
    </row>
    <row r="560" spans="1:19" ht="12.75" customHeight="1" x14ac:dyDescent="0.3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5"/>
      <c r="S560" s="85"/>
    </row>
    <row r="561" spans="1:19" ht="12.75" customHeight="1" x14ac:dyDescent="0.3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5"/>
      <c r="S561" s="85"/>
    </row>
    <row r="562" spans="1:19" ht="12.75" customHeight="1" x14ac:dyDescent="0.3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5"/>
      <c r="S562" s="85"/>
    </row>
    <row r="563" spans="1:19" ht="12.75" customHeight="1" x14ac:dyDescent="0.3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5"/>
      <c r="S563" s="85"/>
    </row>
    <row r="564" spans="1:19" ht="12.75" customHeight="1" x14ac:dyDescent="0.3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5"/>
      <c r="S564" s="85"/>
    </row>
    <row r="565" spans="1:19" ht="12.75" customHeight="1" x14ac:dyDescent="0.3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5"/>
      <c r="S565" s="85"/>
    </row>
    <row r="566" spans="1:19" ht="12.75" customHeight="1" x14ac:dyDescent="0.3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5"/>
      <c r="S566" s="85"/>
    </row>
    <row r="567" spans="1:19" ht="12.75" customHeight="1" x14ac:dyDescent="0.3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5"/>
      <c r="S567" s="85"/>
    </row>
    <row r="568" spans="1:19" ht="12.75" customHeight="1" x14ac:dyDescent="0.3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5"/>
      <c r="S568" s="85"/>
    </row>
    <row r="569" spans="1:19" ht="12.75" customHeight="1" x14ac:dyDescent="0.3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5"/>
      <c r="S569" s="85"/>
    </row>
    <row r="570" spans="1:19" ht="12.75" customHeight="1" x14ac:dyDescent="0.3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5"/>
      <c r="S570" s="85"/>
    </row>
    <row r="571" spans="1:19" ht="12.75" customHeight="1" x14ac:dyDescent="0.3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5"/>
      <c r="S571" s="85"/>
    </row>
    <row r="572" spans="1:19" ht="12.75" customHeight="1" x14ac:dyDescent="0.3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5"/>
      <c r="S572" s="85"/>
    </row>
    <row r="573" spans="1:19" ht="12.75" customHeight="1" x14ac:dyDescent="0.3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5"/>
      <c r="S573" s="85"/>
    </row>
    <row r="574" spans="1:19" ht="12.75" customHeight="1" x14ac:dyDescent="0.3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5"/>
      <c r="S574" s="85"/>
    </row>
    <row r="575" spans="1:19" ht="12.75" customHeight="1" x14ac:dyDescent="0.3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5"/>
      <c r="S575" s="85"/>
    </row>
    <row r="576" spans="1:19" ht="12.75" customHeight="1" x14ac:dyDescent="0.3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5"/>
      <c r="S576" s="85"/>
    </row>
    <row r="577" spans="1:19" ht="12.75" customHeight="1" x14ac:dyDescent="0.3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5"/>
      <c r="S577" s="85"/>
    </row>
    <row r="578" spans="1:19" ht="12.75" customHeight="1" x14ac:dyDescent="0.3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5"/>
      <c r="S578" s="85"/>
    </row>
    <row r="579" spans="1:19" ht="12.75" customHeight="1" x14ac:dyDescent="0.3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5"/>
      <c r="S579" s="85"/>
    </row>
    <row r="580" spans="1:19" ht="12.75" customHeight="1" x14ac:dyDescent="0.3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5"/>
      <c r="S580" s="85"/>
    </row>
    <row r="581" spans="1:19" ht="12.75" customHeight="1" x14ac:dyDescent="0.3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5"/>
      <c r="S581" s="85"/>
    </row>
    <row r="582" spans="1:19" ht="12.75" customHeight="1" x14ac:dyDescent="0.3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5"/>
      <c r="S582" s="85"/>
    </row>
    <row r="583" spans="1:19" ht="12.75" customHeight="1" x14ac:dyDescent="0.3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5"/>
      <c r="S583" s="85"/>
    </row>
    <row r="584" spans="1:19" ht="12.75" customHeight="1" x14ac:dyDescent="0.3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5"/>
      <c r="S584" s="85"/>
    </row>
    <row r="585" spans="1:19" ht="12.75" customHeight="1" x14ac:dyDescent="0.3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5"/>
      <c r="S585" s="85"/>
    </row>
    <row r="586" spans="1:19" ht="12.75" customHeight="1" x14ac:dyDescent="0.3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5"/>
      <c r="S586" s="85"/>
    </row>
    <row r="587" spans="1:19" ht="12.75" customHeight="1" x14ac:dyDescent="0.3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5"/>
      <c r="S587" s="85"/>
    </row>
    <row r="588" spans="1:19" ht="12.75" customHeight="1" x14ac:dyDescent="0.3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5"/>
      <c r="S588" s="85"/>
    </row>
    <row r="589" spans="1:19" ht="12.75" customHeight="1" x14ac:dyDescent="0.3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5"/>
      <c r="S589" s="85"/>
    </row>
    <row r="590" spans="1:19" ht="12.75" customHeight="1" x14ac:dyDescent="0.3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5"/>
      <c r="S590" s="85"/>
    </row>
    <row r="591" spans="1:19" ht="12.75" customHeight="1" x14ac:dyDescent="0.3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5"/>
      <c r="S591" s="85"/>
    </row>
    <row r="592" spans="1:19" ht="12.75" customHeight="1" x14ac:dyDescent="0.3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5"/>
      <c r="S592" s="85"/>
    </row>
    <row r="593" spans="1:19" ht="12.75" customHeight="1" x14ac:dyDescent="0.3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5"/>
      <c r="S593" s="85"/>
    </row>
    <row r="594" spans="1:19" ht="12.75" customHeight="1" x14ac:dyDescent="0.3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5"/>
      <c r="S594" s="85"/>
    </row>
    <row r="595" spans="1:19" ht="12.75" customHeight="1" x14ac:dyDescent="0.3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5"/>
      <c r="S595" s="85"/>
    </row>
    <row r="596" spans="1:19" ht="12.75" customHeight="1" x14ac:dyDescent="0.3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5"/>
      <c r="S596" s="85"/>
    </row>
    <row r="597" spans="1:19" ht="12.75" customHeight="1" x14ac:dyDescent="0.3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5"/>
      <c r="S597" s="85"/>
    </row>
    <row r="598" spans="1:19" ht="12.75" customHeight="1" x14ac:dyDescent="0.3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5"/>
      <c r="S598" s="85"/>
    </row>
    <row r="599" spans="1:19" ht="12.75" customHeight="1" x14ac:dyDescent="0.3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5"/>
      <c r="S599" s="85"/>
    </row>
    <row r="600" spans="1:19" ht="12.75" customHeight="1" x14ac:dyDescent="0.3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5"/>
      <c r="S600" s="85"/>
    </row>
    <row r="601" spans="1:19" ht="12.75" customHeight="1" x14ac:dyDescent="0.3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5"/>
      <c r="S601" s="85"/>
    </row>
    <row r="602" spans="1:19" ht="12.75" customHeight="1" x14ac:dyDescent="0.3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5"/>
      <c r="S602" s="85"/>
    </row>
    <row r="603" spans="1:19" ht="12.75" customHeight="1" x14ac:dyDescent="0.3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5"/>
      <c r="S603" s="85"/>
    </row>
    <row r="604" spans="1:19" ht="12.75" customHeight="1" x14ac:dyDescent="0.3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5"/>
      <c r="S604" s="85"/>
    </row>
    <row r="605" spans="1:19" ht="12.75" customHeight="1" x14ac:dyDescent="0.3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5"/>
      <c r="S605" s="85"/>
    </row>
    <row r="606" spans="1:19" ht="12.75" customHeight="1" x14ac:dyDescent="0.3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5"/>
      <c r="S606" s="85"/>
    </row>
    <row r="607" spans="1:19" ht="12.75" customHeight="1" x14ac:dyDescent="0.3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5"/>
      <c r="S607" s="85"/>
    </row>
    <row r="608" spans="1:19" ht="12.75" customHeight="1" x14ac:dyDescent="0.3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5"/>
      <c r="S608" s="85"/>
    </row>
    <row r="609" spans="1:19" ht="12.75" customHeight="1" x14ac:dyDescent="0.3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5"/>
      <c r="S609" s="85"/>
    </row>
    <row r="610" spans="1:19" ht="12.75" customHeight="1" x14ac:dyDescent="0.3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5"/>
      <c r="S610" s="85"/>
    </row>
    <row r="611" spans="1:19" ht="12.75" customHeight="1" x14ac:dyDescent="0.3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5"/>
      <c r="S611" s="85"/>
    </row>
    <row r="612" spans="1:19" ht="12.75" customHeight="1" x14ac:dyDescent="0.3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5"/>
      <c r="S612" s="85"/>
    </row>
    <row r="613" spans="1:19" ht="12.75" customHeight="1" x14ac:dyDescent="0.3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5"/>
      <c r="S613" s="85"/>
    </row>
    <row r="614" spans="1:19" ht="12.75" customHeight="1" x14ac:dyDescent="0.3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5"/>
      <c r="S614" s="85"/>
    </row>
    <row r="615" spans="1:19" ht="12.75" customHeight="1" x14ac:dyDescent="0.3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5"/>
      <c r="S615" s="85"/>
    </row>
    <row r="616" spans="1:19" ht="12.75" customHeight="1" x14ac:dyDescent="0.3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5"/>
      <c r="S616" s="85"/>
    </row>
    <row r="617" spans="1:19" ht="12.75" customHeight="1" x14ac:dyDescent="0.3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5"/>
      <c r="S617" s="85"/>
    </row>
    <row r="618" spans="1:19" ht="12.75" customHeight="1" x14ac:dyDescent="0.3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5"/>
      <c r="S618" s="85"/>
    </row>
    <row r="619" spans="1:19" ht="12.75" customHeight="1" x14ac:dyDescent="0.3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5"/>
      <c r="S619" s="85"/>
    </row>
    <row r="620" spans="1:19" ht="12.75" customHeight="1" x14ac:dyDescent="0.3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5"/>
      <c r="S620" s="85"/>
    </row>
    <row r="621" spans="1:19" ht="12.75" customHeight="1" x14ac:dyDescent="0.3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5"/>
      <c r="S621" s="85"/>
    </row>
    <row r="622" spans="1:19" ht="12.75" customHeight="1" x14ac:dyDescent="0.3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5"/>
      <c r="S622" s="85"/>
    </row>
    <row r="623" spans="1:19" ht="12.75" customHeight="1" x14ac:dyDescent="0.3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5"/>
      <c r="S623" s="85"/>
    </row>
    <row r="624" spans="1:19" ht="12.75" customHeight="1" x14ac:dyDescent="0.3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5"/>
      <c r="S624" s="85"/>
    </row>
    <row r="625" spans="1:19" ht="12.75" customHeight="1" x14ac:dyDescent="0.3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5"/>
      <c r="S625" s="85"/>
    </row>
    <row r="626" spans="1:19" ht="12.75" customHeight="1" x14ac:dyDescent="0.3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5"/>
      <c r="S626" s="85"/>
    </row>
    <row r="627" spans="1:19" ht="12.75" customHeight="1" x14ac:dyDescent="0.3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5"/>
      <c r="S627" s="85"/>
    </row>
    <row r="628" spans="1:19" ht="12.75" customHeight="1" x14ac:dyDescent="0.3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5"/>
      <c r="S628" s="85"/>
    </row>
    <row r="629" spans="1:19" ht="12.75" customHeight="1" x14ac:dyDescent="0.3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5"/>
      <c r="S629" s="85"/>
    </row>
    <row r="630" spans="1:19" ht="12.75" customHeight="1" x14ac:dyDescent="0.3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5"/>
      <c r="S630" s="85"/>
    </row>
    <row r="631" spans="1:19" ht="12.75" customHeight="1" x14ac:dyDescent="0.3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5"/>
      <c r="S631" s="85"/>
    </row>
    <row r="632" spans="1:19" ht="12.75" customHeight="1" x14ac:dyDescent="0.3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5"/>
      <c r="S632" s="85"/>
    </row>
    <row r="633" spans="1:19" ht="12.75" customHeight="1" x14ac:dyDescent="0.3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5"/>
      <c r="S633" s="85"/>
    </row>
    <row r="634" spans="1:19" ht="12.75" customHeight="1" x14ac:dyDescent="0.3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5"/>
      <c r="S634" s="85"/>
    </row>
    <row r="635" spans="1:19" ht="12.75" customHeight="1" x14ac:dyDescent="0.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5"/>
      <c r="S635" s="85"/>
    </row>
    <row r="636" spans="1:19" ht="12.75" customHeight="1" x14ac:dyDescent="0.3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5"/>
      <c r="S636" s="85"/>
    </row>
    <row r="637" spans="1:19" ht="12.75" customHeight="1" x14ac:dyDescent="0.3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5"/>
      <c r="S637" s="85"/>
    </row>
    <row r="638" spans="1:19" ht="12.75" customHeight="1" x14ac:dyDescent="0.3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5"/>
      <c r="S638" s="85"/>
    </row>
    <row r="639" spans="1:19" ht="12.75" customHeight="1" x14ac:dyDescent="0.3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5"/>
      <c r="S639" s="85"/>
    </row>
    <row r="640" spans="1:19" ht="12.75" customHeight="1" x14ac:dyDescent="0.3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5"/>
      <c r="S640" s="85"/>
    </row>
    <row r="641" spans="1:19" ht="12.75" customHeight="1" x14ac:dyDescent="0.3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5"/>
      <c r="S641" s="85"/>
    </row>
    <row r="642" spans="1:19" ht="12.75" customHeight="1" x14ac:dyDescent="0.3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5"/>
      <c r="S642" s="85"/>
    </row>
    <row r="643" spans="1:19" ht="12.75" customHeight="1" x14ac:dyDescent="0.3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5"/>
      <c r="S643" s="85"/>
    </row>
    <row r="644" spans="1:19" ht="12.75" customHeight="1" x14ac:dyDescent="0.3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5"/>
      <c r="S644" s="85"/>
    </row>
    <row r="645" spans="1:19" ht="12.75" customHeight="1" x14ac:dyDescent="0.3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5"/>
      <c r="S645" s="85"/>
    </row>
    <row r="646" spans="1:19" ht="12.75" customHeight="1" x14ac:dyDescent="0.3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5"/>
      <c r="S646" s="85"/>
    </row>
    <row r="647" spans="1:19" ht="12.75" customHeight="1" x14ac:dyDescent="0.3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5"/>
      <c r="S647" s="85"/>
    </row>
    <row r="648" spans="1:19" ht="12.75" customHeight="1" x14ac:dyDescent="0.3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5"/>
      <c r="S648" s="85"/>
    </row>
    <row r="649" spans="1:19" ht="12.75" customHeight="1" x14ac:dyDescent="0.3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5"/>
      <c r="S649" s="85"/>
    </row>
    <row r="650" spans="1:19" ht="12.75" customHeight="1" x14ac:dyDescent="0.3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5"/>
      <c r="S650" s="85"/>
    </row>
    <row r="651" spans="1:19" ht="12.75" customHeight="1" x14ac:dyDescent="0.3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5"/>
      <c r="S651" s="85"/>
    </row>
    <row r="652" spans="1:19" ht="12.75" customHeight="1" x14ac:dyDescent="0.3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5"/>
      <c r="S652" s="85"/>
    </row>
    <row r="653" spans="1:19" ht="12.75" customHeight="1" x14ac:dyDescent="0.3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5"/>
      <c r="S653" s="85"/>
    </row>
    <row r="654" spans="1:19" ht="12.75" customHeight="1" x14ac:dyDescent="0.3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5"/>
      <c r="S654" s="85"/>
    </row>
    <row r="655" spans="1:19" ht="12.75" customHeight="1" x14ac:dyDescent="0.3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5"/>
      <c r="S655" s="85"/>
    </row>
    <row r="656" spans="1:19" ht="12.75" customHeight="1" x14ac:dyDescent="0.3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5"/>
      <c r="S656" s="85"/>
    </row>
    <row r="657" spans="1:19" ht="12.75" customHeight="1" x14ac:dyDescent="0.3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5"/>
      <c r="S657" s="85"/>
    </row>
    <row r="658" spans="1:19" ht="12.75" customHeight="1" x14ac:dyDescent="0.3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5"/>
      <c r="S658" s="85"/>
    </row>
    <row r="659" spans="1:19" ht="12.75" customHeight="1" x14ac:dyDescent="0.3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5"/>
      <c r="S659" s="85"/>
    </row>
    <row r="660" spans="1:19" ht="12.75" customHeight="1" x14ac:dyDescent="0.3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5"/>
      <c r="S660" s="85"/>
    </row>
    <row r="661" spans="1:19" ht="12.75" customHeight="1" x14ac:dyDescent="0.3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5"/>
      <c r="S661" s="85"/>
    </row>
    <row r="662" spans="1:19" ht="12.75" customHeight="1" x14ac:dyDescent="0.3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5"/>
      <c r="S662" s="85"/>
    </row>
    <row r="663" spans="1:19" ht="12.75" customHeight="1" x14ac:dyDescent="0.3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5"/>
      <c r="S663" s="85"/>
    </row>
    <row r="664" spans="1:19" ht="12.75" customHeight="1" x14ac:dyDescent="0.3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5"/>
      <c r="S664" s="85"/>
    </row>
    <row r="665" spans="1:19" ht="12.75" customHeight="1" x14ac:dyDescent="0.3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5"/>
      <c r="S665" s="85"/>
    </row>
    <row r="666" spans="1:19" ht="12.75" customHeight="1" x14ac:dyDescent="0.3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5"/>
      <c r="S666" s="85"/>
    </row>
    <row r="667" spans="1:19" ht="12.75" customHeight="1" x14ac:dyDescent="0.3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5"/>
      <c r="S667" s="85"/>
    </row>
    <row r="668" spans="1:19" ht="12.75" customHeight="1" x14ac:dyDescent="0.3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5"/>
      <c r="S668" s="85"/>
    </row>
    <row r="669" spans="1:19" ht="12.75" customHeight="1" x14ac:dyDescent="0.3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5"/>
      <c r="S669" s="85"/>
    </row>
    <row r="670" spans="1:19" ht="12.75" customHeight="1" x14ac:dyDescent="0.3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5"/>
      <c r="S670" s="85"/>
    </row>
    <row r="671" spans="1:19" ht="12.75" customHeight="1" x14ac:dyDescent="0.3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5"/>
      <c r="S671" s="85"/>
    </row>
    <row r="672" spans="1:19" ht="12.75" customHeight="1" x14ac:dyDescent="0.3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5"/>
      <c r="S672" s="85"/>
    </row>
    <row r="673" spans="1:19" ht="12.75" customHeight="1" x14ac:dyDescent="0.3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5"/>
      <c r="S673" s="85"/>
    </row>
    <row r="674" spans="1:19" ht="12.75" customHeight="1" x14ac:dyDescent="0.3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5"/>
      <c r="S674" s="85"/>
    </row>
    <row r="675" spans="1:19" ht="12.75" customHeight="1" x14ac:dyDescent="0.3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5"/>
      <c r="S675" s="85"/>
    </row>
    <row r="676" spans="1:19" ht="12.75" customHeight="1" x14ac:dyDescent="0.3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5"/>
      <c r="S676" s="85"/>
    </row>
    <row r="677" spans="1:19" ht="12.75" customHeight="1" x14ac:dyDescent="0.3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5"/>
      <c r="S677" s="85"/>
    </row>
    <row r="678" spans="1:19" ht="12.75" customHeight="1" x14ac:dyDescent="0.3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5"/>
      <c r="S678" s="85"/>
    </row>
    <row r="679" spans="1:19" ht="12.75" customHeight="1" x14ac:dyDescent="0.3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5"/>
      <c r="S679" s="85"/>
    </row>
    <row r="680" spans="1:19" ht="12.75" customHeight="1" x14ac:dyDescent="0.3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5"/>
      <c r="S680" s="85"/>
    </row>
    <row r="681" spans="1:19" ht="12.75" customHeight="1" x14ac:dyDescent="0.3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5"/>
      <c r="S681" s="85"/>
    </row>
    <row r="682" spans="1:19" ht="12.75" customHeight="1" x14ac:dyDescent="0.3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5"/>
      <c r="S682" s="85"/>
    </row>
    <row r="683" spans="1:19" ht="12.75" customHeight="1" x14ac:dyDescent="0.3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5"/>
      <c r="S683" s="85"/>
    </row>
    <row r="684" spans="1:19" ht="12.75" customHeight="1" x14ac:dyDescent="0.3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5"/>
      <c r="S684" s="85"/>
    </row>
    <row r="685" spans="1:19" ht="12.75" customHeight="1" x14ac:dyDescent="0.3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5"/>
      <c r="S685" s="85"/>
    </row>
    <row r="686" spans="1:19" ht="12.75" customHeight="1" x14ac:dyDescent="0.3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5"/>
      <c r="S686" s="85"/>
    </row>
    <row r="687" spans="1:19" ht="12.75" customHeight="1" x14ac:dyDescent="0.3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5"/>
      <c r="S687" s="85"/>
    </row>
    <row r="688" spans="1:19" ht="12.75" customHeight="1" x14ac:dyDescent="0.3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5"/>
      <c r="S688" s="85"/>
    </row>
    <row r="689" spans="1:19" ht="12.75" customHeight="1" x14ac:dyDescent="0.3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5"/>
      <c r="S689" s="85"/>
    </row>
    <row r="690" spans="1:19" ht="12.75" customHeight="1" x14ac:dyDescent="0.3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5"/>
      <c r="S690" s="85"/>
    </row>
    <row r="691" spans="1:19" ht="12.75" customHeight="1" x14ac:dyDescent="0.3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5"/>
      <c r="S691" s="85"/>
    </row>
    <row r="692" spans="1:19" ht="12.75" customHeight="1" x14ac:dyDescent="0.3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5"/>
      <c r="S692" s="85"/>
    </row>
    <row r="693" spans="1:19" ht="12.75" customHeight="1" x14ac:dyDescent="0.3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5"/>
      <c r="S693" s="85"/>
    </row>
    <row r="694" spans="1:19" ht="12.75" customHeight="1" x14ac:dyDescent="0.3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5"/>
      <c r="S694" s="85"/>
    </row>
    <row r="695" spans="1:19" ht="12.75" customHeight="1" x14ac:dyDescent="0.3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5"/>
      <c r="S695" s="85"/>
    </row>
    <row r="696" spans="1:19" ht="12.75" customHeight="1" x14ac:dyDescent="0.3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5"/>
      <c r="S696" s="85"/>
    </row>
    <row r="697" spans="1:19" ht="12.75" customHeight="1" x14ac:dyDescent="0.3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5"/>
      <c r="S697" s="85"/>
    </row>
    <row r="698" spans="1:19" ht="12.75" customHeight="1" x14ac:dyDescent="0.3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5"/>
      <c r="S698" s="85"/>
    </row>
    <row r="699" spans="1:19" ht="12.75" customHeight="1" x14ac:dyDescent="0.3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5"/>
      <c r="S699" s="85"/>
    </row>
    <row r="700" spans="1:19" ht="12.75" customHeight="1" x14ac:dyDescent="0.3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5"/>
      <c r="S700" s="85"/>
    </row>
    <row r="701" spans="1:19" ht="12.75" customHeight="1" x14ac:dyDescent="0.3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5"/>
      <c r="S701" s="85"/>
    </row>
    <row r="702" spans="1:19" ht="12.75" customHeight="1" x14ac:dyDescent="0.3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5"/>
      <c r="S702" s="85"/>
    </row>
    <row r="703" spans="1:19" ht="12.75" customHeight="1" x14ac:dyDescent="0.3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5"/>
      <c r="S703" s="85"/>
    </row>
    <row r="704" spans="1:19" ht="12.75" customHeight="1" x14ac:dyDescent="0.3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5"/>
      <c r="S704" s="85"/>
    </row>
    <row r="705" spans="1:19" ht="12.75" customHeight="1" x14ac:dyDescent="0.3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5"/>
      <c r="S705" s="85"/>
    </row>
    <row r="706" spans="1:19" ht="12.75" customHeight="1" x14ac:dyDescent="0.3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5"/>
      <c r="S706" s="85"/>
    </row>
    <row r="707" spans="1:19" ht="12.75" customHeight="1" x14ac:dyDescent="0.3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5"/>
      <c r="S707" s="85"/>
    </row>
    <row r="708" spans="1:19" ht="12.75" customHeight="1" x14ac:dyDescent="0.3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5"/>
      <c r="S708" s="85"/>
    </row>
    <row r="709" spans="1:19" ht="12.75" customHeight="1" x14ac:dyDescent="0.3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5"/>
      <c r="S709" s="85"/>
    </row>
    <row r="710" spans="1:19" ht="12.75" customHeight="1" x14ac:dyDescent="0.3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5"/>
      <c r="S710" s="85"/>
    </row>
    <row r="711" spans="1:19" ht="12.75" customHeight="1" x14ac:dyDescent="0.3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5"/>
      <c r="S711" s="85"/>
    </row>
    <row r="712" spans="1:19" ht="12.75" customHeight="1" x14ac:dyDescent="0.3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5"/>
      <c r="S712" s="85"/>
    </row>
    <row r="713" spans="1:19" ht="12.75" customHeight="1" x14ac:dyDescent="0.3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5"/>
      <c r="S713" s="85"/>
    </row>
    <row r="714" spans="1:19" ht="12.75" customHeight="1" x14ac:dyDescent="0.3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5"/>
      <c r="S714" s="85"/>
    </row>
    <row r="715" spans="1:19" ht="12.75" customHeight="1" x14ac:dyDescent="0.3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5"/>
      <c r="S715" s="85"/>
    </row>
    <row r="716" spans="1:19" ht="12.75" customHeight="1" x14ac:dyDescent="0.3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5"/>
      <c r="S716" s="85"/>
    </row>
    <row r="717" spans="1:19" ht="12.75" customHeight="1" x14ac:dyDescent="0.3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5"/>
      <c r="S717" s="85"/>
    </row>
    <row r="718" spans="1:19" ht="12.75" customHeight="1" x14ac:dyDescent="0.3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5"/>
      <c r="S718" s="85"/>
    </row>
    <row r="719" spans="1:19" ht="12.75" customHeight="1" x14ac:dyDescent="0.3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5"/>
      <c r="S719" s="85"/>
    </row>
    <row r="720" spans="1:19" ht="12.75" customHeight="1" x14ac:dyDescent="0.3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5"/>
      <c r="S720" s="85"/>
    </row>
    <row r="721" spans="1:19" ht="12.75" customHeight="1" x14ac:dyDescent="0.3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5"/>
      <c r="S721" s="85"/>
    </row>
    <row r="722" spans="1:19" ht="12.75" customHeight="1" x14ac:dyDescent="0.3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5"/>
      <c r="S722" s="85"/>
    </row>
    <row r="723" spans="1:19" ht="12.75" customHeight="1" x14ac:dyDescent="0.3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5"/>
      <c r="S723" s="85"/>
    </row>
    <row r="724" spans="1:19" ht="12.75" customHeight="1" x14ac:dyDescent="0.3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5"/>
      <c r="S724" s="85"/>
    </row>
    <row r="725" spans="1:19" ht="12.75" customHeight="1" x14ac:dyDescent="0.3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5"/>
      <c r="S725" s="85"/>
    </row>
    <row r="726" spans="1:19" ht="12.75" customHeight="1" x14ac:dyDescent="0.3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5"/>
      <c r="S726" s="85"/>
    </row>
    <row r="727" spans="1:19" ht="12.75" customHeight="1" x14ac:dyDescent="0.3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5"/>
      <c r="S727" s="85"/>
    </row>
    <row r="728" spans="1:19" ht="12.75" customHeight="1" x14ac:dyDescent="0.3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5"/>
      <c r="S728" s="85"/>
    </row>
    <row r="729" spans="1:19" ht="12.75" customHeight="1" x14ac:dyDescent="0.3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5"/>
      <c r="S729" s="85"/>
    </row>
    <row r="730" spans="1:19" ht="12.75" customHeight="1" x14ac:dyDescent="0.3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5"/>
      <c r="S730" s="85"/>
    </row>
    <row r="731" spans="1:19" ht="12.75" customHeight="1" x14ac:dyDescent="0.3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5"/>
      <c r="S731" s="85"/>
    </row>
    <row r="732" spans="1:19" ht="12.75" customHeight="1" x14ac:dyDescent="0.3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5"/>
      <c r="S732" s="85"/>
    </row>
    <row r="733" spans="1:19" ht="12.75" customHeight="1" x14ac:dyDescent="0.3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5"/>
      <c r="S733" s="85"/>
    </row>
    <row r="734" spans="1:19" ht="12.75" customHeight="1" x14ac:dyDescent="0.3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5"/>
      <c r="S734" s="85"/>
    </row>
    <row r="735" spans="1:19" ht="12.75" customHeight="1" x14ac:dyDescent="0.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5"/>
      <c r="S735" s="85"/>
    </row>
    <row r="736" spans="1:19" ht="12.75" customHeight="1" x14ac:dyDescent="0.3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5"/>
      <c r="S736" s="85"/>
    </row>
    <row r="737" spans="1:19" ht="12.75" customHeight="1" x14ac:dyDescent="0.3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5"/>
      <c r="S737" s="85"/>
    </row>
    <row r="738" spans="1:19" ht="12.75" customHeight="1" x14ac:dyDescent="0.3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5"/>
      <c r="S738" s="85"/>
    </row>
    <row r="739" spans="1:19" ht="12.75" customHeight="1" x14ac:dyDescent="0.3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5"/>
      <c r="S739" s="85"/>
    </row>
    <row r="740" spans="1:19" ht="12.75" customHeight="1" x14ac:dyDescent="0.3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5"/>
      <c r="S740" s="85"/>
    </row>
    <row r="741" spans="1:19" ht="12.75" customHeight="1" x14ac:dyDescent="0.3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5"/>
      <c r="S741" s="85"/>
    </row>
    <row r="742" spans="1:19" ht="12.75" customHeight="1" x14ac:dyDescent="0.3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5"/>
      <c r="S742" s="85"/>
    </row>
    <row r="743" spans="1:19" ht="12.75" customHeight="1" x14ac:dyDescent="0.3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5"/>
      <c r="S743" s="85"/>
    </row>
    <row r="744" spans="1:19" ht="12.75" customHeight="1" x14ac:dyDescent="0.3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5"/>
      <c r="S744" s="85"/>
    </row>
    <row r="745" spans="1:19" ht="12.75" customHeight="1" x14ac:dyDescent="0.3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5"/>
      <c r="S745" s="85"/>
    </row>
    <row r="746" spans="1:19" ht="12.75" customHeight="1" x14ac:dyDescent="0.3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5"/>
      <c r="S746" s="85"/>
    </row>
    <row r="747" spans="1:19" ht="12.75" customHeight="1" x14ac:dyDescent="0.3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5"/>
      <c r="S747" s="85"/>
    </row>
    <row r="748" spans="1:19" ht="12.75" customHeight="1" x14ac:dyDescent="0.3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5"/>
      <c r="S748" s="85"/>
    </row>
    <row r="749" spans="1:19" ht="12.75" customHeight="1" x14ac:dyDescent="0.3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5"/>
      <c r="S749" s="85"/>
    </row>
    <row r="750" spans="1:19" ht="12.75" customHeight="1" x14ac:dyDescent="0.3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5"/>
      <c r="S750" s="85"/>
    </row>
    <row r="751" spans="1:19" ht="12.75" customHeight="1" x14ac:dyDescent="0.3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5"/>
      <c r="S751" s="85"/>
    </row>
    <row r="752" spans="1:19" ht="12.75" customHeight="1" x14ac:dyDescent="0.3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5"/>
      <c r="S752" s="85"/>
    </row>
    <row r="753" spans="1:19" ht="12.75" customHeight="1" x14ac:dyDescent="0.3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5"/>
      <c r="S753" s="85"/>
    </row>
    <row r="754" spans="1:19" ht="12.75" customHeight="1" x14ac:dyDescent="0.3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5"/>
      <c r="S754" s="85"/>
    </row>
    <row r="755" spans="1:19" ht="12.75" customHeight="1" x14ac:dyDescent="0.3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5"/>
      <c r="S755" s="85"/>
    </row>
    <row r="756" spans="1:19" ht="12.75" customHeight="1" x14ac:dyDescent="0.3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5"/>
      <c r="S756" s="85"/>
    </row>
    <row r="757" spans="1:19" ht="12.75" customHeight="1" x14ac:dyDescent="0.3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5"/>
      <c r="S757" s="85"/>
    </row>
    <row r="758" spans="1:19" ht="12.75" customHeight="1" x14ac:dyDescent="0.3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5"/>
      <c r="S758" s="85"/>
    </row>
    <row r="759" spans="1:19" ht="12.75" customHeight="1" x14ac:dyDescent="0.3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5"/>
      <c r="S759" s="85"/>
    </row>
    <row r="760" spans="1:19" ht="12.75" customHeight="1" x14ac:dyDescent="0.3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5"/>
      <c r="S760" s="85"/>
    </row>
    <row r="761" spans="1:19" ht="12.75" customHeight="1" x14ac:dyDescent="0.3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5"/>
      <c r="S761" s="85"/>
    </row>
    <row r="762" spans="1:19" ht="12.75" customHeight="1" x14ac:dyDescent="0.3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5"/>
      <c r="S762" s="85"/>
    </row>
    <row r="763" spans="1:19" ht="12.75" customHeight="1" x14ac:dyDescent="0.3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5"/>
      <c r="S763" s="85"/>
    </row>
    <row r="764" spans="1:19" ht="12.75" customHeight="1" x14ac:dyDescent="0.3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5"/>
      <c r="S764" s="85"/>
    </row>
    <row r="765" spans="1:19" ht="12.75" customHeight="1" x14ac:dyDescent="0.3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5"/>
      <c r="S765" s="85"/>
    </row>
    <row r="766" spans="1:19" ht="12.75" customHeight="1" x14ac:dyDescent="0.3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5"/>
      <c r="S766" s="85"/>
    </row>
    <row r="767" spans="1:19" ht="12.75" customHeight="1" x14ac:dyDescent="0.3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5"/>
      <c r="S767" s="85"/>
    </row>
    <row r="768" spans="1:19" ht="12.75" customHeight="1" x14ac:dyDescent="0.3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5"/>
      <c r="S768" s="85"/>
    </row>
    <row r="769" spans="1:19" ht="12.75" customHeight="1" x14ac:dyDescent="0.3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5"/>
      <c r="S769" s="85"/>
    </row>
    <row r="770" spans="1:19" ht="12.75" customHeight="1" x14ac:dyDescent="0.3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5"/>
      <c r="S770" s="85"/>
    </row>
    <row r="771" spans="1:19" ht="12.75" customHeight="1" x14ac:dyDescent="0.3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5"/>
      <c r="S771" s="85"/>
    </row>
    <row r="772" spans="1:19" ht="12.75" customHeight="1" x14ac:dyDescent="0.3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5"/>
      <c r="S772" s="85"/>
    </row>
    <row r="773" spans="1:19" ht="12.75" customHeight="1" x14ac:dyDescent="0.3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5"/>
      <c r="S773" s="85"/>
    </row>
    <row r="774" spans="1:19" ht="12.75" customHeight="1" x14ac:dyDescent="0.3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5"/>
      <c r="S774" s="85"/>
    </row>
    <row r="775" spans="1:19" ht="12.75" customHeight="1" x14ac:dyDescent="0.3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5"/>
      <c r="S775" s="85"/>
    </row>
    <row r="776" spans="1:19" ht="12.75" customHeight="1" x14ac:dyDescent="0.3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5"/>
      <c r="S776" s="85"/>
    </row>
    <row r="777" spans="1:19" ht="12.75" customHeight="1" x14ac:dyDescent="0.3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5"/>
      <c r="S777" s="85"/>
    </row>
    <row r="778" spans="1:19" ht="12.75" customHeight="1" x14ac:dyDescent="0.3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5"/>
      <c r="S778" s="85"/>
    </row>
    <row r="779" spans="1:19" ht="12.75" customHeight="1" x14ac:dyDescent="0.3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5"/>
      <c r="S779" s="85"/>
    </row>
    <row r="780" spans="1:19" ht="12.75" customHeight="1" x14ac:dyDescent="0.3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5"/>
      <c r="S780" s="85"/>
    </row>
    <row r="781" spans="1:19" ht="12.75" customHeight="1" x14ac:dyDescent="0.3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5"/>
      <c r="S781" s="85"/>
    </row>
    <row r="782" spans="1:19" ht="12.75" customHeight="1" x14ac:dyDescent="0.3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5"/>
      <c r="S782" s="85"/>
    </row>
    <row r="783" spans="1:19" ht="12.75" customHeight="1" x14ac:dyDescent="0.3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5"/>
      <c r="S783" s="85"/>
    </row>
    <row r="784" spans="1:19" ht="12.75" customHeight="1" x14ac:dyDescent="0.3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5"/>
      <c r="S784" s="85"/>
    </row>
    <row r="785" spans="1:19" ht="12.75" customHeight="1" x14ac:dyDescent="0.3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5"/>
      <c r="S785" s="85"/>
    </row>
    <row r="786" spans="1:19" ht="12.75" customHeight="1" x14ac:dyDescent="0.3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5"/>
      <c r="S786" s="85"/>
    </row>
    <row r="787" spans="1:19" ht="12.75" customHeight="1" x14ac:dyDescent="0.3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5"/>
      <c r="S787" s="85"/>
    </row>
    <row r="788" spans="1:19" ht="12.75" customHeight="1" x14ac:dyDescent="0.3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5"/>
      <c r="S788" s="85"/>
    </row>
    <row r="789" spans="1:19" ht="12.75" customHeight="1" x14ac:dyDescent="0.3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5"/>
      <c r="S789" s="85"/>
    </row>
    <row r="790" spans="1:19" ht="12.75" customHeight="1" x14ac:dyDescent="0.3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5"/>
      <c r="S790" s="85"/>
    </row>
    <row r="791" spans="1:19" ht="12.75" customHeight="1" x14ac:dyDescent="0.3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5"/>
      <c r="S791" s="85"/>
    </row>
    <row r="792" spans="1:19" ht="12.75" customHeight="1" x14ac:dyDescent="0.3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5"/>
      <c r="S792" s="85"/>
    </row>
    <row r="793" spans="1:19" ht="12.75" customHeight="1" x14ac:dyDescent="0.3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5"/>
      <c r="S793" s="85"/>
    </row>
    <row r="794" spans="1:19" ht="12.75" customHeight="1" x14ac:dyDescent="0.3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5"/>
      <c r="S794" s="85"/>
    </row>
    <row r="795" spans="1:19" ht="12.75" customHeight="1" x14ac:dyDescent="0.3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5"/>
      <c r="S795" s="85"/>
    </row>
    <row r="796" spans="1:19" ht="12.75" customHeight="1" x14ac:dyDescent="0.3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5"/>
      <c r="S796" s="85"/>
    </row>
    <row r="797" spans="1:19" ht="12.75" customHeight="1" x14ac:dyDescent="0.3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5"/>
      <c r="S797" s="85"/>
    </row>
    <row r="798" spans="1:19" ht="12.75" customHeight="1" x14ac:dyDescent="0.3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5"/>
      <c r="S798" s="85"/>
    </row>
    <row r="799" spans="1:19" ht="12.75" customHeight="1" x14ac:dyDescent="0.3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5"/>
      <c r="S799" s="85"/>
    </row>
    <row r="800" spans="1:19" ht="12.75" customHeight="1" x14ac:dyDescent="0.3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5"/>
      <c r="S800" s="85"/>
    </row>
    <row r="801" spans="1:19" ht="12.75" customHeight="1" x14ac:dyDescent="0.3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5"/>
      <c r="S801" s="85"/>
    </row>
    <row r="802" spans="1:19" ht="12.75" customHeight="1" x14ac:dyDescent="0.3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5"/>
      <c r="S802" s="85"/>
    </row>
    <row r="803" spans="1:19" ht="12.75" customHeight="1" x14ac:dyDescent="0.3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5"/>
      <c r="S803" s="85"/>
    </row>
    <row r="804" spans="1:19" ht="12.75" customHeight="1" x14ac:dyDescent="0.3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5"/>
      <c r="S804" s="85"/>
    </row>
    <row r="805" spans="1:19" ht="12.75" customHeight="1" x14ac:dyDescent="0.3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5"/>
      <c r="S805" s="85"/>
    </row>
    <row r="806" spans="1:19" ht="12.75" customHeight="1" x14ac:dyDescent="0.3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5"/>
      <c r="S806" s="85"/>
    </row>
    <row r="807" spans="1:19" ht="12.75" customHeight="1" x14ac:dyDescent="0.3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5"/>
      <c r="S807" s="85"/>
    </row>
    <row r="808" spans="1:19" ht="12.75" customHeight="1" x14ac:dyDescent="0.3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5"/>
      <c r="S808" s="85"/>
    </row>
    <row r="809" spans="1:19" ht="12.75" customHeight="1" x14ac:dyDescent="0.3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5"/>
      <c r="S809" s="85"/>
    </row>
    <row r="810" spans="1:19" ht="12.75" customHeight="1" x14ac:dyDescent="0.3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5"/>
      <c r="S810" s="85"/>
    </row>
    <row r="811" spans="1:19" ht="12.75" customHeight="1" x14ac:dyDescent="0.3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5"/>
      <c r="S811" s="85"/>
    </row>
    <row r="812" spans="1:19" ht="12.75" customHeight="1" x14ac:dyDescent="0.3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5"/>
      <c r="S812" s="85"/>
    </row>
    <row r="813" spans="1:19" ht="12.75" customHeight="1" x14ac:dyDescent="0.3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5"/>
      <c r="S813" s="85"/>
    </row>
    <row r="814" spans="1:19" ht="12.75" customHeight="1" x14ac:dyDescent="0.3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5"/>
      <c r="S814" s="85"/>
    </row>
    <row r="815" spans="1:19" ht="12.75" customHeight="1" x14ac:dyDescent="0.3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5"/>
      <c r="S815" s="85"/>
    </row>
    <row r="816" spans="1:19" ht="12.75" customHeight="1" x14ac:dyDescent="0.3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5"/>
      <c r="S816" s="85"/>
    </row>
    <row r="817" spans="1:19" ht="12.75" customHeight="1" x14ac:dyDescent="0.3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5"/>
      <c r="S817" s="85"/>
    </row>
    <row r="818" spans="1:19" ht="12.75" customHeight="1" x14ac:dyDescent="0.3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5"/>
      <c r="S818" s="85"/>
    </row>
    <row r="819" spans="1:19" ht="12.75" customHeight="1" x14ac:dyDescent="0.3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5"/>
      <c r="S819" s="85"/>
    </row>
    <row r="820" spans="1:19" ht="12.75" customHeight="1" x14ac:dyDescent="0.3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5"/>
      <c r="S820" s="85"/>
    </row>
    <row r="821" spans="1:19" ht="12.75" customHeight="1" x14ac:dyDescent="0.3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5"/>
      <c r="S821" s="85"/>
    </row>
    <row r="822" spans="1:19" ht="12.75" customHeight="1" x14ac:dyDescent="0.3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5"/>
      <c r="S822" s="85"/>
    </row>
    <row r="823" spans="1:19" ht="12.75" customHeight="1" x14ac:dyDescent="0.3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5"/>
      <c r="S823" s="85"/>
    </row>
    <row r="824" spans="1:19" ht="12.75" customHeight="1" x14ac:dyDescent="0.3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5"/>
      <c r="S824" s="85"/>
    </row>
    <row r="825" spans="1:19" ht="12.75" customHeight="1" x14ac:dyDescent="0.3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5"/>
      <c r="S825" s="85"/>
    </row>
    <row r="826" spans="1:19" ht="12.75" customHeight="1" x14ac:dyDescent="0.3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5"/>
      <c r="S826" s="85"/>
    </row>
    <row r="827" spans="1:19" ht="12.75" customHeight="1" x14ac:dyDescent="0.3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5"/>
      <c r="S827" s="85"/>
    </row>
    <row r="828" spans="1:19" ht="12.75" customHeight="1" x14ac:dyDescent="0.3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5"/>
      <c r="S828" s="85"/>
    </row>
    <row r="829" spans="1:19" ht="12.75" customHeight="1" x14ac:dyDescent="0.3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5"/>
      <c r="S829" s="85"/>
    </row>
    <row r="830" spans="1:19" ht="12.75" customHeight="1" x14ac:dyDescent="0.3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5"/>
      <c r="S830" s="85"/>
    </row>
    <row r="831" spans="1:19" ht="12.75" customHeight="1" x14ac:dyDescent="0.3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5"/>
      <c r="S831" s="85"/>
    </row>
    <row r="832" spans="1:19" ht="12.75" customHeight="1" x14ac:dyDescent="0.3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5"/>
      <c r="S832" s="85"/>
    </row>
    <row r="833" spans="1:19" ht="12.75" customHeight="1" x14ac:dyDescent="0.3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5"/>
      <c r="S833" s="85"/>
    </row>
    <row r="834" spans="1:19" ht="12.75" customHeight="1" x14ac:dyDescent="0.3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5"/>
      <c r="S834" s="85"/>
    </row>
    <row r="835" spans="1:19" ht="12.75" customHeight="1" x14ac:dyDescent="0.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5"/>
      <c r="S835" s="85"/>
    </row>
    <row r="836" spans="1:19" ht="12.75" customHeight="1" x14ac:dyDescent="0.3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5"/>
      <c r="S836" s="85"/>
    </row>
    <row r="837" spans="1:19" ht="12.75" customHeight="1" x14ac:dyDescent="0.3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5"/>
      <c r="S837" s="85"/>
    </row>
    <row r="838" spans="1:19" ht="12.75" customHeight="1" x14ac:dyDescent="0.3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5"/>
      <c r="S838" s="85"/>
    </row>
    <row r="839" spans="1:19" ht="12.75" customHeight="1" x14ac:dyDescent="0.3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5"/>
      <c r="S839" s="85"/>
    </row>
    <row r="840" spans="1:19" ht="12.75" customHeight="1" x14ac:dyDescent="0.3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5"/>
      <c r="S840" s="85"/>
    </row>
    <row r="841" spans="1:19" ht="12.75" customHeight="1" x14ac:dyDescent="0.3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5"/>
      <c r="S841" s="85"/>
    </row>
    <row r="842" spans="1:19" ht="12.75" customHeight="1" x14ac:dyDescent="0.3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5"/>
      <c r="S842" s="85"/>
    </row>
    <row r="843" spans="1:19" ht="12.75" customHeight="1" x14ac:dyDescent="0.3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5"/>
      <c r="S843" s="85"/>
    </row>
    <row r="844" spans="1:19" ht="12.75" customHeight="1" x14ac:dyDescent="0.3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5"/>
      <c r="S844" s="85"/>
    </row>
    <row r="845" spans="1:19" ht="12.75" customHeight="1" x14ac:dyDescent="0.3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5"/>
      <c r="S845" s="85"/>
    </row>
    <row r="846" spans="1:19" ht="12.75" customHeight="1" x14ac:dyDescent="0.3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5"/>
      <c r="S846" s="85"/>
    </row>
    <row r="847" spans="1:19" ht="12.75" customHeight="1" x14ac:dyDescent="0.3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5"/>
      <c r="S847" s="85"/>
    </row>
    <row r="848" spans="1:19" ht="12.75" customHeight="1" x14ac:dyDescent="0.3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5"/>
      <c r="S848" s="85"/>
    </row>
    <row r="849" spans="1:19" ht="12.75" customHeight="1" x14ac:dyDescent="0.3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5"/>
      <c r="S849" s="85"/>
    </row>
    <row r="850" spans="1:19" ht="12.75" customHeight="1" x14ac:dyDescent="0.3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5"/>
      <c r="S850" s="85"/>
    </row>
    <row r="851" spans="1:19" ht="12.75" customHeight="1" x14ac:dyDescent="0.3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5"/>
      <c r="S851" s="85"/>
    </row>
    <row r="852" spans="1:19" ht="12.75" customHeight="1" x14ac:dyDescent="0.3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5"/>
      <c r="S852" s="85"/>
    </row>
    <row r="853" spans="1:19" ht="12.75" customHeight="1" x14ac:dyDescent="0.3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5"/>
      <c r="S853" s="85"/>
    </row>
    <row r="854" spans="1:19" ht="12.75" customHeight="1" x14ac:dyDescent="0.3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5"/>
      <c r="S854" s="85"/>
    </row>
    <row r="855" spans="1:19" ht="12.75" customHeight="1" x14ac:dyDescent="0.3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5"/>
      <c r="S855" s="85"/>
    </row>
    <row r="856" spans="1:19" ht="12.75" customHeight="1" x14ac:dyDescent="0.3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5"/>
      <c r="S856" s="85"/>
    </row>
    <row r="857" spans="1:19" ht="12.75" customHeight="1" x14ac:dyDescent="0.3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5"/>
      <c r="S857" s="85"/>
    </row>
    <row r="858" spans="1:19" ht="12.75" customHeight="1" x14ac:dyDescent="0.3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5"/>
      <c r="S858" s="85"/>
    </row>
    <row r="859" spans="1:19" ht="12.75" customHeight="1" x14ac:dyDescent="0.3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5"/>
      <c r="S859" s="85"/>
    </row>
    <row r="860" spans="1:19" ht="12.75" customHeight="1" x14ac:dyDescent="0.3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5"/>
      <c r="S860" s="85"/>
    </row>
    <row r="861" spans="1:19" ht="12.75" customHeight="1" x14ac:dyDescent="0.3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5"/>
      <c r="S861" s="85"/>
    </row>
    <row r="862" spans="1:19" ht="12.75" customHeight="1" x14ac:dyDescent="0.3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5"/>
      <c r="S862" s="85"/>
    </row>
    <row r="863" spans="1:19" ht="12.75" customHeight="1" x14ac:dyDescent="0.3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5"/>
      <c r="S863" s="85"/>
    </row>
    <row r="864" spans="1:19" ht="12.75" customHeight="1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5"/>
      <c r="S864" s="85"/>
    </row>
    <row r="865" spans="1:19" ht="12.75" customHeight="1" x14ac:dyDescent="0.3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5"/>
      <c r="S865" s="85"/>
    </row>
    <row r="866" spans="1:19" ht="12.75" customHeight="1" x14ac:dyDescent="0.3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5"/>
      <c r="S866" s="85"/>
    </row>
    <row r="867" spans="1:19" ht="12.75" customHeight="1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5"/>
      <c r="S867" s="85"/>
    </row>
    <row r="868" spans="1:19" ht="12.75" customHeight="1" x14ac:dyDescent="0.3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5"/>
      <c r="S868" s="85"/>
    </row>
    <row r="869" spans="1:19" ht="12.75" customHeight="1" x14ac:dyDescent="0.3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5"/>
      <c r="S869" s="85"/>
    </row>
    <row r="870" spans="1:19" ht="12.75" customHeight="1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5"/>
      <c r="S870" s="85"/>
    </row>
    <row r="871" spans="1:19" ht="12.75" customHeight="1" x14ac:dyDescent="0.3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5"/>
      <c r="S871" s="85"/>
    </row>
    <row r="872" spans="1:19" ht="12.75" customHeight="1" x14ac:dyDescent="0.3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5"/>
      <c r="S872" s="85"/>
    </row>
    <row r="873" spans="1:19" ht="12.75" customHeight="1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5"/>
      <c r="S873" s="85"/>
    </row>
    <row r="874" spans="1:19" ht="12.75" customHeight="1" x14ac:dyDescent="0.3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5"/>
      <c r="S874" s="85"/>
    </row>
    <row r="875" spans="1:19" ht="12.75" customHeight="1" x14ac:dyDescent="0.3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5"/>
      <c r="S875" s="85"/>
    </row>
    <row r="876" spans="1:19" ht="12.75" customHeight="1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5"/>
      <c r="S876" s="85"/>
    </row>
    <row r="877" spans="1:19" ht="12.75" customHeight="1" x14ac:dyDescent="0.3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5"/>
      <c r="S877" s="85"/>
    </row>
    <row r="878" spans="1:19" ht="12.75" customHeight="1" x14ac:dyDescent="0.3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5"/>
      <c r="S878" s="85"/>
    </row>
    <row r="879" spans="1:19" ht="12.75" customHeight="1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5"/>
      <c r="S879" s="85"/>
    </row>
    <row r="880" spans="1:19" ht="12.75" customHeight="1" x14ac:dyDescent="0.3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5"/>
      <c r="S880" s="85"/>
    </row>
    <row r="881" spans="1:19" ht="12.75" customHeight="1" x14ac:dyDescent="0.3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5"/>
      <c r="S881" s="85"/>
    </row>
    <row r="882" spans="1:19" ht="12.75" customHeight="1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5"/>
      <c r="S882" s="85"/>
    </row>
    <row r="883" spans="1:19" ht="12.75" customHeight="1" x14ac:dyDescent="0.3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5"/>
      <c r="S883" s="85"/>
    </row>
    <row r="884" spans="1:19" ht="12.75" customHeight="1" x14ac:dyDescent="0.3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5"/>
      <c r="S884" s="85"/>
    </row>
    <row r="885" spans="1:19" ht="12.75" customHeight="1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5"/>
      <c r="S885" s="85"/>
    </row>
    <row r="886" spans="1:19" ht="12.75" customHeight="1" x14ac:dyDescent="0.3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5"/>
      <c r="S886" s="85"/>
    </row>
    <row r="887" spans="1:19" ht="12.75" customHeight="1" x14ac:dyDescent="0.3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5"/>
      <c r="S887" s="85"/>
    </row>
    <row r="888" spans="1:19" ht="12.75" customHeight="1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5"/>
      <c r="S888" s="85"/>
    </row>
    <row r="889" spans="1:19" ht="12.75" customHeight="1" x14ac:dyDescent="0.3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5"/>
      <c r="S889" s="85"/>
    </row>
    <row r="890" spans="1:19" ht="12.75" customHeight="1" x14ac:dyDescent="0.3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5"/>
      <c r="S890" s="85"/>
    </row>
    <row r="891" spans="1:19" ht="12.75" customHeight="1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5"/>
      <c r="S891" s="85"/>
    </row>
    <row r="892" spans="1:19" ht="12.75" customHeight="1" x14ac:dyDescent="0.3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5"/>
      <c r="S892" s="85"/>
    </row>
    <row r="893" spans="1:19" ht="12.75" customHeight="1" x14ac:dyDescent="0.3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5"/>
      <c r="S893" s="85"/>
    </row>
    <row r="894" spans="1:19" ht="12.75" customHeight="1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5"/>
      <c r="S894" s="85"/>
    </row>
    <row r="895" spans="1:19" ht="12.75" customHeight="1" x14ac:dyDescent="0.3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5"/>
      <c r="S895" s="85"/>
    </row>
    <row r="896" spans="1:19" ht="12.75" customHeight="1" x14ac:dyDescent="0.3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5"/>
      <c r="S896" s="85"/>
    </row>
    <row r="897" spans="1:19" ht="12.75" customHeight="1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5"/>
      <c r="S897" s="85"/>
    </row>
    <row r="898" spans="1:19" ht="12.75" customHeight="1" x14ac:dyDescent="0.3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5"/>
      <c r="S898" s="85"/>
    </row>
    <row r="899" spans="1:19" ht="12.75" customHeight="1" x14ac:dyDescent="0.3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5"/>
      <c r="S899" s="85"/>
    </row>
    <row r="900" spans="1:19" ht="12.75" customHeight="1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5"/>
      <c r="S900" s="85"/>
    </row>
    <row r="901" spans="1:19" ht="12.75" customHeight="1" x14ac:dyDescent="0.3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5"/>
      <c r="S901" s="85"/>
    </row>
    <row r="902" spans="1:19" ht="12.75" customHeight="1" x14ac:dyDescent="0.3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5"/>
      <c r="S902" s="85"/>
    </row>
    <row r="903" spans="1:19" ht="12.75" customHeight="1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5"/>
      <c r="S903" s="85"/>
    </row>
    <row r="904" spans="1:19" ht="12.75" customHeight="1" x14ac:dyDescent="0.3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5"/>
      <c r="S904" s="85"/>
    </row>
    <row r="905" spans="1:19" ht="12.75" customHeight="1" x14ac:dyDescent="0.3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5"/>
      <c r="S905" s="85"/>
    </row>
    <row r="906" spans="1:19" ht="12.75" customHeight="1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5"/>
      <c r="S906" s="85"/>
    </row>
    <row r="907" spans="1:19" ht="12.75" customHeight="1" x14ac:dyDescent="0.3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5"/>
      <c r="S907" s="85"/>
    </row>
    <row r="908" spans="1:19" ht="12.75" customHeight="1" x14ac:dyDescent="0.3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5"/>
      <c r="S908" s="85"/>
    </row>
    <row r="909" spans="1:19" ht="12.75" customHeight="1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5"/>
      <c r="S909" s="85"/>
    </row>
    <row r="910" spans="1:19" ht="12.75" customHeight="1" x14ac:dyDescent="0.3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5"/>
      <c r="S910" s="85"/>
    </row>
    <row r="911" spans="1:19" ht="12.75" customHeight="1" x14ac:dyDescent="0.3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5"/>
      <c r="S911" s="85"/>
    </row>
    <row r="912" spans="1:19" ht="12.75" customHeight="1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5"/>
      <c r="S912" s="85"/>
    </row>
    <row r="913" spans="1:19" ht="12.75" customHeight="1" x14ac:dyDescent="0.3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5"/>
      <c r="S913" s="85"/>
    </row>
    <row r="914" spans="1:19" ht="12.75" customHeight="1" x14ac:dyDescent="0.3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5"/>
      <c r="S914" s="85"/>
    </row>
    <row r="915" spans="1:19" ht="12.75" customHeight="1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5"/>
      <c r="S915" s="85"/>
    </row>
    <row r="916" spans="1:19" ht="12.75" customHeight="1" x14ac:dyDescent="0.3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5"/>
      <c r="S916" s="85"/>
    </row>
    <row r="917" spans="1:19" ht="12.75" customHeight="1" x14ac:dyDescent="0.3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5"/>
      <c r="S917" s="85"/>
    </row>
    <row r="918" spans="1:19" ht="12.75" customHeight="1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5"/>
      <c r="S918" s="85"/>
    </row>
    <row r="919" spans="1:19" ht="12.75" customHeight="1" x14ac:dyDescent="0.3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5"/>
      <c r="S919" s="85"/>
    </row>
    <row r="920" spans="1:19" ht="12.75" customHeight="1" x14ac:dyDescent="0.3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5"/>
      <c r="S920" s="85"/>
    </row>
    <row r="921" spans="1:19" ht="12.75" customHeight="1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5"/>
      <c r="S921" s="85"/>
    </row>
    <row r="922" spans="1:19" ht="12.75" customHeight="1" x14ac:dyDescent="0.3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5"/>
      <c r="S922" s="85"/>
    </row>
    <row r="923" spans="1:19" ht="12.75" customHeight="1" x14ac:dyDescent="0.3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5"/>
      <c r="S923" s="85"/>
    </row>
    <row r="924" spans="1:19" ht="12.75" customHeight="1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5"/>
      <c r="S924" s="85"/>
    </row>
    <row r="925" spans="1:19" ht="12.75" customHeight="1" x14ac:dyDescent="0.3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5"/>
      <c r="S925" s="85"/>
    </row>
    <row r="926" spans="1:19" ht="12.75" customHeight="1" x14ac:dyDescent="0.3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5"/>
      <c r="S926" s="85"/>
    </row>
    <row r="927" spans="1:19" ht="12.75" customHeight="1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5"/>
      <c r="S927" s="85"/>
    </row>
    <row r="928" spans="1:19" ht="12.75" customHeight="1" x14ac:dyDescent="0.3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5"/>
      <c r="S928" s="85"/>
    </row>
    <row r="929" spans="1:19" ht="12.75" customHeight="1" x14ac:dyDescent="0.3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5"/>
      <c r="S929" s="85"/>
    </row>
    <row r="930" spans="1:19" ht="12.75" customHeight="1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5"/>
      <c r="S930" s="85"/>
    </row>
    <row r="931" spans="1:19" ht="12.75" customHeight="1" x14ac:dyDescent="0.3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5"/>
      <c r="S931" s="85"/>
    </row>
    <row r="932" spans="1:19" ht="12.75" customHeight="1" x14ac:dyDescent="0.3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5"/>
      <c r="S932" s="85"/>
    </row>
    <row r="933" spans="1:19" ht="12.75" customHeight="1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5"/>
      <c r="S933" s="85"/>
    </row>
    <row r="934" spans="1:19" ht="12.75" customHeight="1" x14ac:dyDescent="0.3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5"/>
      <c r="S934" s="85"/>
    </row>
    <row r="935" spans="1:19" ht="12.75" customHeight="1" x14ac:dyDescent="0.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5"/>
      <c r="S935" s="85"/>
    </row>
    <row r="936" spans="1:19" ht="12.75" customHeight="1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5"/>
      <c r="S936" s="85"/>
    </row>
    <row r="937" spans="1:19" ht="12.75" customHeight="1" x14ac:dyDescent="0.3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5"/>
      <c r="S937" s="85"/>
    </row>
    <row r="938" spans="1:19" ht="12.75" customHeight="1" x14ac:dyDescent="0.3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5"/>
      <c r="S938" s="85"/>
    </row>
    <row r="939" spans="1:19" ht="12.75" customHeight="1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5"/>
      <c r="S939" s="85"/>
    </row>
    <row r="940" spans="1:19" ht="12.75" customHeight="1" x14ac:dyDescent="0.3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5"/>
      <c r="S940" s="85"/>
    </row>
    <row r="941" spans="1:19" ht="12.75" customHeight="1" x14ac:dyDescent="0.3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5"/>
      <c r="S941" s="85"/>
    </row>
    <row r="942" spans="1:19" ht="12.75" customHeight="1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5"/>
      <c r="S942" s="85"/>
    </row>
    <row r="943" spans="1:19" ht="12.75" customHeight="1" x14ac:dyDescent="0.3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5"/>
      <c r="S943" s="85"/>
    </row>
    <row r="944" spans="1:19" ht="12.75" customHeight="1" x14ac:dyDescent="0.3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5"/>
      <c r="S944" s="85"/>
    </row>
    <row r="945" spans="1:19" ht="12.75" customHeight="1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5"/>
      <c r="S945" s="85"/>
    </row>
    <row r="946" spans="1:19" ht="12.75" customHeight="1" x14ac:dyDescent="0.3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5"/>
      <c r="S946" s="85"/>
    </row>
    <row r="947" spans="1:19" ht="12.75" customHeight="1" x14ac:dyDescent="0.3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5"/>
      <c r="S947" s="85"/>
    </row>
    <row r="948" spans="1:19" ht="12.75" customHeight="1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5"/>
      <c r="S948" s="85"/>
    </row>
    <row r="949" spans="1:19" ht="12.75" customHeight="1" x14ac:dyDescent="0.3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5"/>
      <c r="S949" s="85"/>
    </row>
    <row r="950" spans="1:19" ht="12.75" customHeight="1" x14ac:dyDescent="0.3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5"/>
      <c r="S950" s="85"/>
    </row>
    <row r="951" spans="1:19" ht="12.75" customHeight="1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5"/>
      <c r="S951" s="85"/>
    </row>
    <row r="952" spans="1:19" ht="12.75" customHeight="1" x14ac:dyDescent="0.3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5"/>
      <c r="S952" s="85"/>
    </row>
    <row r="953" spans="1:19" ht="12.75" customHeight="1" x14ac:dyDescent="0.3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5"/>
      <c r="S953" s="85"/>
    </row>
    <row r="954" spans="1:19" ht="12.75" customHeight="1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5"/>
      <c r="S954" s="85"/>
    </row>
    <row r="955" spans="1:19" ht="12.75" customHeight="1" x14ac:dyDescent="0.3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5"/>
      <c r="S955" s="85"/>
    </row>
    <row r="956" spans="1:19" ht="12.75" customHeight="1" x14ac:dyDescent="0.3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5"/>
      <c r="S956" s="85"/>
    </row>
    <row r="957" spans="1:19" ht="12.75" customHeight="1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5"/>
      <c r="S957" s="85"/>
    </row>
    <row r="958" spans="1:19" ht="12.75" customHeight="1" x14ac:dyDescent="0.3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5"/>
      <c r="S958" s="85"/>
    </row>
    <row r="959" spans="1:19" ht="12.75" customHeight="1" x14ac:dyDescent="0.3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5"/>
      <c r="S959" s="85"/>
    </row>
    <row r="960" spans="1:19" ht="12.75" customHeight="1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5"/>
      <c r="S960" s="85"/>
    </row>
    <row r="961" spans="1:19" ht="12.75" customHeight="1" x14ac:dyDescent="0.3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5"/>
      <c r="S961" s="85"/>
    </row>
    <row r="962" spans="1:19" ht="12.75" customHeight="1" x14ac:dyDescent="0.3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5"/>
      <c r="S962" s="85"/>
    </row>
    <row r="963" spans="1:19" ht="12.75" customHeight="1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5"/>
      <c r="S963" s="85"/>
    </row>
    <row r="964" spans="1:19" ht="12.75" customHeight="1" x14ac:dyDescent="0.3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5"/>
      <c r="S964" s="85"/>
    </row>
    <row r="965" spans="1:19" ht="12.75" customHeight="1" x14ac:dyDescent="0.3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5"/>
      <c r="S965" s="85"/>
    </row>
    <row r="966" spans="1:19" ht="12.75" customHeight="1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5"/>
      <c r="S966" s="85"/>
    </row>
    <row r="967" spans="1:19" ht="12.75" customHeight="1" x14ac:dyDescent="0.3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5"/>
      <c r="S967" s="85"/>
    </row>
    <row r="968" spans="1:19" ht="12.75" customHeight="1" x14ac:dyDescent="0.3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5"/>
      <c r="S968" s="85"/>
    </row>
    <row r="969" spans="1:19" ht="12.75" customHeight="1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5"/>
      <c r="S969" s="85"/>
    </row>
    <row r="970" spans="1:19" ht="12.75" customHeight="1" x14ac:dyDescent="0.3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5"/>
      <c r="S970" s="85"/>
    </row>
    <row r="971" spans="1:19" ht="12.75" customHeight="1" x14ac:dyDescent="0.3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5"/>
      <c r="S971" s="85"/>
    </row>
    <row r="972" spans="1:19" ht="12.75" customHeight="1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5"/>
      <c r="S972" s="85"/>
    </row>
    <row r="973" spans="1:19" ht="12.75" customHeight="1" x14ac:dyDescent="0.3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5"/>
      <c r="S973" s="85"/>
    </row>
    <row r="974" spans="1:19" ht="12.75" customHeight="1" x14ac:dyDescent="0.3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5"/>
      <c r="S974" s="85"/>
    </row>
    <row r="975" spans="1:19" ht="12.75" customHeight="1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5"/>
      <c r="S975" s="85"/>
    </row>
    <row r="976" spans="1:19" ht="12.75" customHeight="1" x14ac:dyDescent="0.3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5"/>
      <c r="S976" s="85"/>
    </row>
    <row r="977" spans="1:19" ht="12.75" customHeight="1" x14ac:dyDescent="0.3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5"/>
      <c r="S977" s="85"/>
    </row>
    <row r="978" spans="1:19" ht="12.75" customHeight="1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5"/>
      <c r="S978" s="85"/>
    </row>
    <row r="979" spans="1:19" ht="12.75" customHeight="1" x14ac:dyDescent="0.3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5"/>
      <c r="S979" s="85"/>
    </row>
    <row r="980" spans="1:19" ht="12.75" customHeight="1" x14ac:dyDescent="0.3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5"/>
      <c r="S980" s="85"/>
    </row>
    <row r="981" spans="1:19" ht="12.75" customHeight="1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5"/>
      <c r="S981" s="85"/>
    </row>
    <row r="982" spans="1:19" ht="12.75" customHeight="1" x14ac:dyDescent="0.3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5"/>
      <c r="S982" s="85"/>
    </row>
    <row r="983" spans="1:19" ht="12.75" customHeight="1" x14ac:dyDescent="0.3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5"/>
      <c r="S983" s="85"/>
    </row>
    <row r="984" spans="1:19" ht="12.75" customHeight="1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5"/>
      <c r="S984" s="85"/>
    </row>
    <row r="985" spans="1:19" ht="12.75" customHeight="1" x14ac:dyDescent="0.3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5"/>
      <c r="S985" s="85"/>
    </row>
    <row r="986" spans="1:19" ht="12.75" customHeight="1" x14ac:dyDescent="0.3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5"/>
      <c r="S986" s="85"/>
    </row>
    <row r="987" spans="1:19" ht="12.75" customHeight="1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5"/>
      <c r="S987" s="85"/>
    </row>
    <row r="988" spans="1:19" ht="12.75" customHeight="1" x14ac:dyDescent="0.3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5"/>
      <c r="S988" s="85"/>
    </row>
    <row r="989" spans="1:19" ht="12.75" customHeight="1" x14ac:dyDescent="0.3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5"/>
      <c r="S989" s="85"/>
    </row>
    <row r="990" spans="1:19" ht="12.75" customHeight="1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5"/>
      <c r="S990" s="85"/>
    </row>
    <row r="991" spans="1:19" ht="12.75" customHeight="1" x14ac:dyDescent="0.3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5"/>
      <c r="S991" s="85"/>
    </row>
    <row r="992" spans="1:19" ht="12.75" customHeight="1" x14ac:dyDescent="0.3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5"/>
      <c r="S992" s="85"/>
    </row>
    <row r="993" spans="1:19" ht="12.75" customHeight="1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5"/>
      <c r="S993" s="85"/>
    </row>
    <row r="994" spans="1:19" ht="12.75" customHeight="1" x14ac:dyDescent="0.3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5"/>
      <c r="S994" s="85"/>
    </row>
    <row r="995" spans="1:19" ht="12.75" customHeight="1" x14ac:dyDescent="0.3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5"/>
      <c r="S995" s="85"/>
    </row>
    <row r="996" spans="1:19" ht="12.75" customHeight="1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5"/>
      <c r="S996" s="85"/>
    </row>
    <row r="997" spans="1:19" ht="12.75" customHeight="1" x14ac:dyDescent="0.3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5"/>
      <c r="S997" s="85"/>
    </row>
    <row r="998" spans="1:19" ht="12.75" customHeight="1" x14ac:dyDescent="0.3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5"/>
      <c r="S998" s="85"/>
    </row>
    <row r="999" spans="1:19" ht="12.75" customHeight="1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5"/>
      <c r="S999" s="85"/>
    </row>
    <row r="1000" spans="1:19" ht="12.75" customHeight="1" x14ac:dyDescent="0.3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5"/>
      <c r="S1000" s="85"/>
    </row>
  </sheetData>
  <mergeCells count="2">
    <mergeCell ref="G10:H10"/>
    <mergeCell ref="G11:H11"/>
  </mergeCells>
  <pageMargins left="0.7" right="0.7" top="0.75" bottom="0.75" header="0" footer="0"/>
  <pageSetup scale="33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Inputs</vt:lpstr>
      <vt:lpstr>Summary</vt:lpstr>
      <vt:lpstr>Annual Cash Flows</vt:lpstr>
      <vt:lpstr>Penetration</vt:lpstr>
      <vt:lpstr>Waterfall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Derek Worchel</dc:creator>
  <cp:keywords/>
  <dc:description/>
  <cp:lastModifiedBy>Derek Worchel</cp:lastModifiedBy>
  <cp:revision/>
  <dcterms:created xsi:type="dcterms:W3CDTF">2015-06-05T18:17:20Z</dcterms:created>
  <dcterms:modified xsi:type="dcterms:W3CDTF">2025-12-29T23:12:34Z</dcterms:modified>
  <cp:category/>
  <cp:contentStatus/>
</cp:coreProperties>
</file>